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95" windowWidth="13605" windowHeight="4680" activeTab="2"/>
  </bookViews>
  <sheets>
    <sheet name="Με Προφορικό &amp; Γραπτό Βαθμό" sheetId="1" r:id="rId1"/>
    <sheet name="Βοηθ" sheetId="2" state="hidden" r:id="rId2"/>
    <sheet name="Με Βαθμό Πρόσβασης Μαθήματος" sheetId="3" r:id="rId3"/>
    <sheet name="Φύλλο1" sheetId="4" state="hidden" r:id="rId4"/>
    <sheet name="Προσ" sheetId="5" state="hidden" r:id="rId5"/>
  </sheets>
  <definedNames>
    <definedName name="Z_212A0A96_D9FA_494F_ABE0_1CF5E84657E3_.wvu.FilterData" localSheetId="0" hidden="1">'Με Προφορικό &amp; Γραπτό Βαθμό'!$F$13:$F$17</definedName>
  </definedNames>
  <calcPr fullCalcOnLoad="1"/>
</workbook>
</file>

<file path=xl/comments1.xml><?xml version="1.0" encoding="utf-8"?>
<comments xmlns="http://schemas.openxmlformats.org/spreadsheetml/2006/main">
  <authors>
    <author>Thetakis</author>
  </authors>
  <commentList>
    <comment ref="F6" authorId="0">
      <text>
        <r>
          <rPr>
            <b/>
            <u val="single"/>
            <sz val="12"/>
            <color indexed="18"/>
            <rFont val="Tahoma"/>
            <family val="2"/>
          </rPr>
          <t xml:space="preserve">Κατεύθυνση
</t>
        </r>
        <r>
          <rPr>
            <i/>
            <sz val="12"/>
            <rFont val="Tahoma"/>
            <family val="2"/>
          </rPr>
          <t>(</t>
        </r>
        <r>
          <rPr>
            <b/>
            <i/>
            <sz val="12"/>
            <rFont val="Tahoma"/>
            <family val="2"/>
          </rPr>
          <t>επιλέξτε τον αριθμό για την Κατεύθυνση που σας ενδιαφέρει)</t>
        </r>
        <r>
          <rPr>
            <b/>
            <sz val="12"/>
            <color indexed="18"/>
            <rFont val="Tahoma"/>
            <family val="2"/>
          </rPr>
          <t xml:space="preserve">
Θεωρητική</t>
        </r>
        <r>
          <rPr>
            <b/>
            <sz val="12"/>
            <color indexed="10"/>
            <rFont val="Tahoma"/>
            <family val="2"/>
          </rPr>
          <t xml:space="preserve">  </t>
        </r>
        <r>
          <rPr>
            <b/>
            <sz val="12"/>
            <color indexed="18"/>
            <rFont val="Tahoma"/>
            <family val="2"/>
          </rPr>
          <t>το:</t>
        </r>
        <r>
          <rPr>
            <b/>
            <sz val="12"/>
            <color indexed="10"/>
            <rFont val="Tahoma"/>
            <family val="2"/>
          </rPr>
          <t xml:space="preserve">     </t>
        </r>
        <r>
          <rPr>
            <b/>
            <sz val="14"/>
            <color indexed="10"/>
            <rFont val="Tahoma"/>
            <family val="2"/>
          </rPr>
          <t xml:space="preserve">  </t>
        </r>
        <r>
          <rPr>
            <b/>
            <sz val="14"/>
            <color indexed="18"/>
            <rFont val="Tahoma"/>
            <family val="2"/>
          </rPr>
          <t>1</t>
        </r>
        <r>
          <rPr>
            <b/>
            <sz val="12"/>
            <color indexed="18"/>
            <rFont val="Tahoma"/>
            <family val="2"/>
          </rPr>
          <t xml:space="preserve">
Θετική</t>
        </r>
        <r>
          <rPr>
            <b/>
            <sz val="12"/>
            <color indexed="60"/>
            <rFont val="Tahoma"/>
            <family val="2"/>
          </rPr>
          <t xml:space="preserve">  </t>
        </r>
        <r>
          <rPr>
            <b/>
            <sz val="12"/>
            <color indexed="18"/>
            <rFont val="Tahoma"/>
            <family val="2"/>
          </rPr>
          <t>το:</t>
        </r>
        <r>
          <rPr>
            <b/>
            <sz val="12"/>
            <color indexed="60"/>
            <rFont val="Tahoma"/>
            <family val="2"/>
          </rPr>
          <t xml:space="preserve">              </t>
        </r>
        <r>
          <rPr>
            <b/>
            <sz val="14"/>
            <color indexed="18"/>
            <rFont val="Tahoma"/>
            <family val="2"/>
          </rPr>
          <t>2</t>
        </r>
        <r>
          <rPr>
            <b/>
            <sz val="12"/>
            <color indexed="60"/>
            <rFont val="Tahoma"/>
            <family val="2"/>
          </rPr>
          <t xml:space="preserve">
</t>
        </r>
        <r>
          <rPr>
            <b/>
            <sz val="12"/>
            <color indexed="18"/>
            <rFont val="Tahoma"/>
            <family val="2"/>
          </rPr>
          <t xml:space="preserve">Τεχνολογική (Κύκλος Πληροφορικής) το: </t>
        </r>
        <r>
          <rPr>
            <b/>
            <sz val="14"/>
            <color indexed="18"/>
            <rFont val="Tahoma"/>
            <family val="2"/>
          </rPr>
          <t>3</t>
        </r>
        <r>
          <rPr>
            <b/>
            <sz val="12"/>
            <color indexed="18"/>
            <rFont val="Tahoma"/>
            <family val="2"/>
          </rPr>
          <t xml:space="preserve">
Τεχνολογική (Κύκλος Τεχνολογίας) το:</t>
        </r>
        <r>
          <rPr>
            <b/>
            <sz val="12"/>
            <color indexed="53"/>
            <rFont val="Tahoma"/>
            <family val="2"/>
          </rPr>
          <t xml:space="preserve">  </t>
        </r>
        <r>
          <rPr>
            <b/>
            <sz val="14"/>
            <color indexed="18"/>
            <rFont val="Tahoma"/>
            <family val="2"/>
          </rPr>
          <t>4</t>
        </r>
      </text>
    </comment>
    <comment ref="F8" authorId="0">
      <text>
        <r>
          <rPr>
            <b/>
            <u val="single"/>
            <sz val="12"/>
            <color indexed="18"/>
            <rFont val="Tahoma"/>
            <family val="2"/>
          </rPr>
          <t xml:space="preserve">Μάθημα επιλογής
</t>
        </r>
        <r>
          <rPr>
            <i/>
            <sz val="12"/>
            <rFont val="Tahoma"/>
            <family val="2"/>
          </rPr>
          <t>(</t>
        </r>
        <r>
          <rPr>
            <b/>
            <i/>
            <sz val="12"/>
            <rFont val="Tahoma"/>
            <family val="2"/>
          </rPr>
          <t>επιλέξτε τον αριθμό για το μάθημα που σας ενδιαφέρει)</t>
        </r>
        <r>
          <rPr>
            <b/>
            <sz val="12"/>
            <rFont val="Tahoma"/>
            <family val="2"/>
          </rPr>
          <t xml:space="preserve">:
</t>
        </r>
        <r>
          <rPr>
            <b/>
            <sz val="12"/>
            <color indexed="18"/>
            <rFont val="Tahoma"/>
            <family val="2"/>
          </rPr>
          <t xml:space="preserve">Νεότερη Ελληνική Ιστορία: 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4"/>
            <rFont val="Tahoma"/>
            <family val="2"/>
          </rPr>
          <t>1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2"/>
            <color indexed="18"/>
            <rFont val="Tahoma"/>
            <family val="2"/>
          </rPr>
          <t>Μαθηματικά και Στοιχεία Στατιστικής:</t>
        </r>
        <r>
          <rPr>
            <b/>
            <sz val="12"/>
            <rFont val="Tahoma"/>
            <family val="2"/>
          </rPr>
          <t xml:space="preserve">  </t>
        </r>
        <r>
          <rPr>
            <b/>
            <sz val="14"/>
            <rFont val="Tahoma"/>
            <family val="2"/>
          </rPr>
          <t>2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2"/>
            <color indexed="18"/>
            <rFont val="Tahoma"/>
            <family val="2"/>
          </rPr>
          <t xml:space="preserve">Βιολογία: </t>
        </r>
        <r>
          <rPr>
            <b/>
            <sz val="14"/>
            <rFont val="Tahoma"/>
            <family val="2"/>
          </rPr>
          <t xml:space="preserve"> 3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2"/>
            <color indexed="18"/>
            <rFont val="Tahoma"/>
            <family val="2"/>
          </rPr>
          <t>Φυσική:</t>
        </r>
        <r>
          <rPr>
            <b/>
            <sz val="12"/>
            <color indexed="10"/>
            <rFont val="Tahoma"/>
            <family val="2"/>
          </rPr>
          <t xml:space="preserve"> </t>
        </r>
        <r>
          <rPr>
            <b/>
            <sz val="14"/>
            <rFont val="Tahoma"/>
            <family val="2"/>
          </rPr>
          <t xml:space="preserve"> 4</t>
        </r>
      </text>
    </comment>
    <comment ref="I6" authorId="0">
      <text>
        <r>
          <rPr>
            <b/>
            <sz val="14"/>
            <color indexed="10"/>
            <rFont val="Tahoma"/>
            <family val="2"/>
          </rPr>
          <t>1.</t>
        </r>
        <r>
          <rPr>
            <b/>
            <i/>
            <sz val="14"/>
            <color indexed="18"/>
            <rFont val="Tahoma"/>
            <family val="2"/>
          </rPr>
          <t xml:space="preserve"> Τοποθετούμε στο κελί D6,  αριθμό από 1 - 4,  ανάλογα με την κατεύθυνση που είμαστε.
</t>
        </r>
        <r>
          <rPr>
            <b/>
            <sz val="14"/>
            <color indexed="10"/>
            <rFont val="Tahoma"/>
            <family val="2"/>
          </rPr>
          <t>2.</t>
        </r>
        <r>
          <rPr>
            <b/>
            <i/>
            <sz val="14"/>
            <color indexed="18"/>
            <rFont val="Tahoma"/>
            <family val="2"/>
          </rPr>
          <t xml:space="preserve"> Τοποθετούμε στο κελί D8, αριθμό από 1 - 4, ανάλογα με το έκτο μάθημα που έχουμε επιλέξει για τις εξετάσεις.
</t>
        </r>
        <r>
          <rPr>
            <b/>
            <sz val="14"/>
            <color indexed="10"/>
            <rFont val="Tahoma"/>
            <family val="2"/>
          </rPr>
          <t>3.</t>
        </r>
        <r>
          <rPr>
            <b/>
            <i/>
            <sz val="14"/>
            <color indexed="18"/>
            <rFont val="Tahoma"/>
            <family val="2"/>
          </rPr>
          <t xml:space="preserve"> Τοποθετούμε τους προφορικούς βαθμούς Α΄ και Β΄ τετραμήνου και τους βαθμούς από τα γραπτά μας στα αντίστοιχα κελιά.
</t>
        </r>
        <r>
          <rPr>
            <b/>
            <sz val="14"/>
            <color indexed="10"/>
            <rFont val="Tahoma"/>
            <family val="2"/>
          </rPr>
          <t>4.</t>
        </r>
        <r>
          <rPr>
            <b/>
            <i/>
            <sz val="14"/>
            <color indexed="18"/>
            <rFont val="Tahoma"/>
            <family val="2"/>
          </rPr>
          <t xml:space="preserve"> Στην ένδειξη </t>
        </r>
        <r>
          <rPr>
            <b/>
            <i/>
            <sz val="16"/>
            <color indexed="10"/>
            <rFont val="Tahoma"/>
            <family val="2"/>
          </rPr>
          <t>Μόρια</t>
        </r>
        <r>
          <rPr>
            <b/>
            <i/>
            <sz val="14"/>
            <color indexed="18"/>
            <rFont val="Tahoma"/>
            <family val="2"/>
          </rPr>
          <t xml:space="preserve"> έχουμε τα μόρια στο κάθε επιστημονικό πεδίο που είμαστε σε θέση να δηλώσουμε.</t>
        </r>
      </text>
    </comment>
  </commentList>
</comments>
</file>

<file path=xl/comments3.xml><?xml version="1.0" encoding="utf-8"?>
<comments xmlns="http://schemas.openxmlformats.org/spreadsheetml/2006/main">
  <authors>
    <author>Thetakis</author>
  </authors>
  <commentList>
    <comment ref="E6" authorId="0">
      <text>
        <r>
          <rPr>
            <b/>
            <u val="single"/>
            <sz val="12"/>
            <color indexed="18"/>
            <rFont val="Tahoma"/>
            <family val="2"/>
          </rPr>
          <t xml:space="preserve">Κατεύθυνση
</t>
        </r>
        <r>
          <rPr>
            <i/>
            <sz val="12"/>
            <rFont val="Tahoma"/>
            <family val="2"/>
          </rPr>
          <t>(</t>
        </r>
        <r>
          <rPr>
            <b/>
            <i/>
            <sz val="12"/>
            <rFont val="Tahoma"/>
            <family val="2"/>
          </rPr>
          <t>επιλέξτε τον αριθμό για την Κατεύθυνση που σας ενδιαφέρει)</t>
        </r>
        <r>
          <rPr>
            <b/>
            <sz val="12"/>
            <color indexed="18"/>
            <rFont val="Tahoma"/>
            <family val="2"/>
          </rPr>
          <t xml:space="preserve">
Θεωρητική</t>
        </r>
        <r>
          <rPr>
            <b/>
            <sz val="12"/>
            <color indexed="10"/>
            <rFont val="Tahoma"/>
            <family val="2"/>
          </rPr>
          <t xml:space="preserve">  </t>
        </r>
        <r>
          <rPr>
            <b/>
            <sz val="12"/>
            <color indexed="18"/>
            <rFont val="Tahoma"/>
            <family val="2"/>
          </rPr>
          <t>το:</t>
        </r>
        <r>
          <rPr>
            <b/>
            <sz val="12"/>
            <color indexed="10"/>
            <rFont val="Tahoma"/>
            <family val="2"/>
          </rPr>
          <t xml:space="preserve">     </t>
        </r>
        <r>
          <rPr>
            <b/>
            <sz val="14"/>
            <color indexed="10"/>
            <rFont val="Tahoma"/>
            <family val="2"/>
          </rPr>
          <t xml:space="preserve">  </t>
        </r>
        <r>
          <rPr>
            <b/>
            <sz val="14"/>
            <color indexed="18"/>
            <rFont val="Tahoma"/>
            <family val="2"/>
          </rPr>
          <t>1</t>
        </r>
        <r>
          <rPr>
            <b/>
            <sz val="12"/>
            <color indexed="18"/>
            <rFont val="Tahoma"/>
            <family val="2"/>
          </rPr>
          <t xml:space="preserve">
Θετική</t>
        </r>
        <r>
          <rPr>
            <b/>
            <sz val="12"/>
            <color indexed="60"/>
            <rFont val="Tahoma"/>
            <family val="2"/>
          </rPr>
          <t xml:space="preserve">  </t>
        </r>
        <r>
          <rPr>
            <b/>
            <sz val="12"/>
            <color indexed="18"/>
            <rFont val="Tahoma"/>
            <family val="2"/>
          </rPr>
          <t>το:</t>
        </r>
        <r>
          <rPr>
            <b/>
            <sz val="12"/>
            <color indexed="60"/>
            <rFont val="Tahoma"/>
            <family val="2"/>
          </rPr>
          <t xml:space="preserve">              </t>
        </r>
        <r>
          <rPr>
            <b/>
            <sz val="14"/>
            <color indexed="18"/>
            <rFont val="Tahoma"/>
            <family val="2"/>
          </rPr>
          <t>2</t>
        </r>
        <r>
          <rPr>
            <b/>
            <sz val="12"/>
            <color indexed="60"/>
            <rFont val="Tahoma"/>
            <family val="2"/>
          </rPr>
          <t xml:space="preserve">
</t>
        </r>
        <r>
          <rPr>
            <b/>
            <sz val="12"/>
            <color indexed="18"/>
            <rFont val="Tahoma"/>
            <family val="2"/>
          </rPr>
          <t xml:space="preserve">Τεχνολογική (Κύκλος Πληροφορικής) το: </t>
        </r>
        <r>
          <rPr>
            <b/>
            <sz val="14"/>
            <color indexed="18"/>
            <rFont val="Tahoma"/>
            <family val="2"/>
          </rPr>
          <t>3</t>
        </r>
        <r>
          <rPr>
            <b/>
            <sz val="12"/>
            <color indexed="18"/>
            <rFont val="Tahoma"/>
            <family val="2"/>
          </rPr>
          <t xml:space="preserve">
Τεχνολογική (Κύκλος Τεχνολογίας) το:</t>
        </r>
        <r>
          <rPr>
            <b/>
            <sz val="12"/>
            <color indexed="53"/>
            <rFont val="Tahoma"/>
            <family val="2"/>
          </rPr>
          <t xml:space="preserve">  </t>
        </r>
        <r>
          <rPr>
            <b/>
            <sz val="14"/>
            <color indexed="18"/>
            <rFont val="Tahoma"/>
            <family val="2"/>
          </rPr>
          <t>4</t>
        </r>
      </text>
    </comment>
    <comment ref="E8" authorId="0">
      <text>
        <r>
          <rPr>
            <b/>
            <u val="single"/>
            <sz val="12"/>
            <color indexed="18"/>
            <rFont val="Tahoma"/>
            <family val="2"/>
          </rPr>
          <t xml:space="preserve">Μάθημα επιλογής
</t>
        </r>
        <r>
          <rPr>
            <i/>
            <sz val="12"/>
            <rFont val="Tahoma"/>
            <family val="2"/>
          </rPr>
          <t>(</t>
        </r>
        <r>
          <rPr>
            <b/>
            <i/>
            <sz val="12"/>
            <rFont val="Tahoma"/>
            <family val="2"/>
          </rPr>
          <t>επιλέξτε τον αριθμό για το μάθημα που σας ενδιαφέρει)</t>
        </r>
        <r>
          <rPr>
            <b/>
            <sz val="12"/>
            <rFont val="Tahoma"/>
            <family val="2"/>
          </rPr>
          <t xml:space="preserve">:
</t>
        </r>
        <r>
          <rPr>
            <b/>
            <sz val="12"/>
            <color indexed="18"/>
            <rFont val="Tahoma"/>
            <family val="2"/>
          </rPr>
          <t xml:space="preserve">Νεότερη Ελληνική Ιστορία: 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4"/>
            <color indexed="10"/>
            <rFont val="Tahoma"/>
            <family val="2"/>
          </rPr>
          <t>1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2"/>
            <color indexed="18"/>
            <rFont val="Tahoma"/>
            <family val="2"/>
          </rPr>
          <t>Μαθηματικά και Στοιχεία Στατιστικής:</t>
        </r>
        <r>
          <rPr>
            <b/>
            <sz val="12"/>
            <rFont val="Tahoma"/>
            <family val="2"/>
          </rPr>
          <t xml:space="preserve">  </t>
        </r>
        <r>
          <rPr>
            <b/>
            <sz val="14"/>
            <color indexed="10"/>
            <rFont val="Tahoma"/>
            <family val="2"/>
          </rPr>
          <t>2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2"/>
            <color indexed="18"/>
            <rFont val="Tahoma"/>
            <family val="2"/>
          </rPr>
          <t xml:space="preserve">Βιολογία: </t>
        </r>
        <r>
          <rPr>
            <b/>
            <sz val="14"/>
            <rFont val="Tahoma"/>
            <family val="2"/>
          </rPr>
          <t xml:space="preserve"> </t>
        </r>
        <r>
          <rPr>
            <b/>
            <sz val="14"/>
            <color indexed="10"/>
            <rFont val="Tahoma"/>
            <family val="2"/>
          </rPr>
          <t>3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2"/>
            <color indexed="18"/>
            <rFont val="Tahoma"/>
            <family val="2"/>
          </rPr>
          <t>Φυσική:</t>
        </r>
        <r>
          <rPr>
            <b/>
            <sz val="12"/>
            <color indexed="10"/>
            <rFont val="Tahoma"/>
            <family val="2"/>
          </rPr>
          <t xml:space="preserve"> </t>
        </r>
        <r>
          <rPr>
            <b/>
            <sz val="14"/>
            <rFont val="Tahoma"/>
            <family val="2"/>
          </rPr>
          <t xml:space="preserve"> </t>
        </r>
        <r>
          <rPr>
            <b/>
            <sz val="14"/>
            <color indexed="10"/>
            <rFont val="Tahoma"/>
            <family val="2"/>
          </rPr>
          <t>4</t>
        </r>
      </text>
    </comment>
    <comment ref="G4" authorId="0">
      <text>
        <r>
          <rPr>
            <b/>
            <sz val="14"/>
            <color indexed="10"/>
            <rFont val="Tahoma"/>
            <family val="2"/>
          </rPr>
          <t>1.</t>
        </r>
        <r>
          <rPr>
            <b/>
            <i/>
            <sz val="14"/>
            <color indexed="18"/>
            <rFont val="Tahoma"/>
            <family val="2"/>
          </rPr>
          <t xml:space="preserve"> Τοποθετούμε στο κελί E6,  αριθμό από 1 - 4,  ανάλογα με την κατεύθυνση που είμαστε.
</t>
        </r>
        <r>
          <rPr>
            <b/>
            <sz val="14"/>
            <color indexed="10"/>
            <rFont val="Tahoma"/>
            <family val="2"/>
          </rPr>
          <t>2.</t>
        </r>
        <r>
          <rPr>
            <b/>
            <i/>
            <sz val="14"/>
            <color indexed="18"/>
            <rFont val="Tahoma"/>
            <family val="2"/>
          </rPr>
          <t xml:space="preserve"> Τοποθετούμε στο κελί E8, αριθμό από 1 - 4, ανάλογα με το έκτο μάθημα που έχουμε επιλέξει για τις εξετάσεις.
</t>
        </r>
        <r>
          <rPr>
            <b/>
            <sz val="14"/>
            <color indexed="10"/>
            <rFont val="Tahoma"/>
            <family val="2"/>
          </rPr>
          <t>3.</t>
        </r>
        <r>
          <rPr>
            <b/>
            <i/>
            <sz val="14"/>
            <color indexed="18"/>
            <rFont val="Tahoma"/>
            <family val="2"/>
          </rPr>
          <t xml:space="preserve"> Τοποθετούμε τους βαθμούς Πρόσβασης Μαθήματος στα αντίστοιχα κελιά.
</t>
        </r>
        <r>
          <rPr>
            <b/>
            <sz val="14"/>
            <color indexed="10"/>
            <rFont val="Tahoma"/>
            <family val="2"/>
          </rPr>
          <t>4.</t>
        </r>
        <r>
          <rPr>
            <b/>
            <i/>
            <sz val="14"/>
            <color indexed="18"/>
            <rFont val="Tahoma"/>
            <family val="2"/>
          </rPr>
          <t xml:space="preserve"> Στην ένδειξη </t>
        </r>
        <r>
          <rPr>
            <b/>
            <i/>
            <sz val="16"/>
            <color indexed="10"/>
            <rFont val="Tahoma"/>
            <family val="2"/>
          </rPr>
          <t>Μόρια</t>
        </r>
        <r>
          <rPr>
            <b/>
            <i/>
            <sz val="14"/>
            <color indexed="18"/>
            <rFont val="Tahoma"/>
            <family val="2"/>
          </rPr>
          <t xml:space="preserve"> έχουμε τα μόρια στο κάθε επιστημονικό πεδίο που είμαστε σε θέση να δηλώσουμε.</t>
        </r>
        <r>
          <rPr>
            <b/>
            <sz val="14"/>
            <color indexed="10"/>
            <rFont val="Tahoma"/>
            <family val="2"/>
          </rPr>
          <t/>
        </r>
      </text>
    </comment>
    <comment ref="J8" authorId="0">
      <text>
        <r>
          <rPr>
            <b/>
            <sz val="12"/>
            <color indexed="18"/>
            <rFont val="Tahoma"/>
            <family val="2"/>
          </rPr>
          <t>Εξέταση σε τρία από τα  τέσσερα αγωνίσματα: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2"/>
            <color indexed="18"/>
            <rFont val="Tahoma"/>
            <family val="2"/>
          </rPr>
          <t>1.</t>
        </r>
        <r>
          <rPr>
            <b/>
            <sz val="12"/>
            <color indexed="16"/>
            <rFont val="Tahoma"/>
            <family val="2"/>
          </rPr>
          <t xml:space="preserve"> Δρόμος 400μ. για τα αγόρια
    και 200μ. για τα κορίτσια
</t>
        </r>
        <r>
          <rPr>
            <b/>
            <sz val="12"/>
            <color indexed="18"/>
            <rFont val="Tahoma"/>
            <family val="2"/>
          </rPr>
          <t>2.</t>
        </r>
        <r>
          <rPr>
            <b/>
            <sz val="12"/>
            <color indexed="16"/>
            <rFont val="Tahoma"/>
            <family val="2"/>
          </rPr>
          <t xml:space="preserve"> Άλμα εις μήκος
</t>
        </r>
        <r>
          <rPr>
            <b/>
            <sz val="12"/>
            <color indexed="18"/>
            <rFont val="Tahoma"/>
            <family val="2"/>
          </rPr>
          <t>3.</t>
        </r>
        <r>
          <rPr>
            <b/>
            <sz val="12"/>
            <color indexed="16"/>
            <rFont val="Tahoma"/>
            <family val="2"/>
          </rPr>
          <t xml:space="preserve"> Σφαιροβολία
</t>
        </r>
        <r>
          <rPr>
            <b/>
            <sz val="12"/>
            <color indexed="18"/>
            <rFont val="Tahoma"/>
            <family val="2"/>
          </rPr>
          <t>4.</t>
        </r>
        <r>
          <rPr>
            <b/>
            <sz val="12"/>
            <color indexed="16"/>
            <rFont val="Tahoma"/>
            <family val="2"/>
          </rPr>
          <t xml:space="preserve"> 50μ. κολύμβησης ελεύθερο</t>
        </r>
      </text>
    </comment>
    <comment ref="J15" authorId="0">
      <text>
        <r>
          <rPr>
            <b/>
            <sz val="12"/>
            <color indexed="18"/>
            <rFont val="Tahoma"/>
            <family val="2"/>
          </rPr>
          <t>Τα  ειδικά μαθήματα είναι:</t>
        </r>
        <r>
          <rPr>
            <b/>
            <sz val="11"/>
            <rFont val="Tahoma"/>
            <family val="2"/>
          </rPr>
          <t xml:space="preserve">
</t>
        </r>
        <r>
          <rPr>
            <b/>
            <sz val="11"/>
            <color indexed="10"/>
            <rFont val="Tahoma"/>
            <family val="2"/>
          </rPr>
          <t>ΑΓΓΛΙΚΗ ΓΛΩΣΣΑ
ΓΑΛΛΙΚΗ ΓΛΩΣΣΑ
ΓΕΡΜΑΝΙΚΗ ΓΛΩΣΣΑ
ΙΤΑΛΙΚΗ ΓΛΩΣΣΑ</t>
        </r>
        <r>
          <rPr>
            <b/>
            <sz val="11"/>
            <rFont val="Tahoma"/>
            <family val="2"/>
          </rPr>
          <t xml:space="preserve">
</t>
        </r>
        <r>
          <rPr>
            <b/>
            <sz val="11"/>
            <color indexed="18"/>
            <rFont val="Tahoma"/>
            <family val="2"/>
          </rPr>
          <t>ΕΛΕΥΘΕΡΟ ΣΧΕΔΙΟ 
ΓΡΑΜΜΙΚΟ ΣΧΕΔΙΟ</t>
        </r>
        <r>
          <rPr>
            <b/>
            <sz val="11"/>
            <rFont val="Tahoma"/>
            <family val="2"/>
          </rPr>
          <t xml:space="preserve">
</t>
        </r>
        <r>
          <rPr>
            <b/>
            <sz val="11"/>
            <color indexed="19"/>
            <rFont val="Tahoma"/>
            <family val="2"/>
          </rPr>
          <t>ΑΡΜΟΝΙΑ 
ΕΛΕΓΧΟΣ ΜΟΥΣΙΚΩΝ ΑΚΟΥΣΤΙΚΩΝ ΙΚΑΝΟΤΗΤΩΝ</t>
        </r>
      </text>
    </comment>
  </commentList>
</comments>
</file>

<file path=xl/sharedStrings.xml><?xml version="1.0" encoding="utf-8"?>
<sst xmlns="http://schemas.openxmlformats.org/spreadsheetml/2006/main" count="60" uniqueCount="42">
  <si>
    <t>Επιλογή Κατεύθυνσης</t>
  </si>
  <si>
    <t>Επιλογή Μαθήματος</t>
  </si>
  <si>
    <t>Α/Α</t>
  </si>
  <si>
    <t>Μάθημα</t>
  </si>
  <si>
    <t>Γραπτά</t>
  </si>
  <si>
    <t>Βαθμός Πρόσβασης Μαθήματος</t>
  </si>
  <si>
    <t xml:space="preserve">Νεοελληνική Γλώσσα </t>
  </si>
  <si>
    <t>Αρχές Οικονομικής Θεωρίας</t>
  </si>
  <si>
    <t>ΓΕΝΙΚΟΣ ΒΑΘΜΟΣ ΠΡΟΣΒΑΣΗΣ:</t>
  </si>
  <si>
    <t>Μαθήματα Αυξημένης Βαρύτητας</t>
  </si>
  <si>
    <t>Θεωρητική Κατεύθυνση</t>
  </si>
  <si>
    <t>Θετική Κατεύθυνση</t>
  </si>
  <si>
    <r>
      <t xml:space="preserve">Τεχνολογική Κατεύθυνση </t>
    </r>
    <r>
      <rPr>
        <b/>
        <i/>
        <sz val="10"/>
        <color indexed="18"/>
        <rFont val="Arial"/>
        <family val="2"/>
      </rPr>
      <t>(Κύκλος Πληροφορικής)</t>
    </r>
  </si>
  <si>
    <r>
      <t xml:space="preserve">Τεχνολογική Κατεύθυνση </t>
    </r>
    <r>
      <rPr>
        <b/>
        <i/>
        <sz val="10"/>
        <color indexed="18"/>
        <rFont val="Arial"/>
        <family val="2"/>
      </rPr>
      <t>(Κύκλος Τεχνολογίας)</t>
    </r>
  </si>
  <si>
    <t>Μόρια</t>
  </si>
  <si>
    <t>Μαθήματα γενικής παιδείας</t>
  </si>
  <si>
    <t>Προφορικός Α'  Τετραμήνου</t>
  </si>
  <si>
    <t>Προφορικός Β' Τετραμήνου</t>
  </si>
  <si>
    <t>Προσαρμογή Προφορικού</t>
  </si>
  <si>
    <t>Μ.Ο</t>
  </si>
  <si>
    <t>Μάθημα Επιλογής Προαιρετικά Εξεταζόμενο σε Εθνικό Επίπεδο</t>
  </si>
  <si>
    <t>Π</t>
  </si>
  <si>
    <t>Μόρια Γεν.Βαθ.Προσ.</t>
  </si>
  <si>
    <t xml:space="preserve">Υπολογισμός Μορίων </t>
  </si>
  <si>
    <t>Υπολογισμός Μορίων</t>
  </si>
  <si>
    <t>Βαθμός Ειδικού Μαθήματος</t>
  </si>
  <si>
    <t>Συντελ. 1</t>
  </si>
  <si>
    <t>Συντελ. 2</t>
  </si>
  <si>
    <t>Επιστημονικά Πεδία</t>
  </si>
  <si>
    <t>Σύνολο Μορίων</t>
  </si>
  <si>
    <t>Βαθμός Αγωνισμάτων</t>
  </si>
  <si>
    <t>1ο Επιστημονικό Πεδίο</t>
  </si>
  <si>
    <t>2ο Επιστημονικό Πεδίο</t>
  </si>
  <si>
    <t>3ο Επιστημονικό Πεδίο</t>
  </si>
  <si>
    <t>4ο Επιστημονικό Πεδίο</t>
  </si>
  <si>
    <t>5ο Επιστημονικό Πεδίο</t>
  </si>
  <si>
    <t>Σύνολο Μορίων με Αγωνίσματα για ΤΕΦΑΑ</t>
  </si>
  <si>
    <t>Επώνυμο:</t>
  </si>
  <si>
    <t>Όνομα:</t>
  </si>
  <si>
    <r>
      <t xml:space="preserve">Οδηγίες           </t>
    </r>
    <r>
      <rPr>
        <b/>
        <sz val="11"/>
        <rFont val="Bookman Old Style"/>
        <family val="1"/>
      </rPr>
      <t>Χωρίς Προφορικό &amp; Γραπτό Βαθμό</t>
    </r>
  </si>
  <si>
    <t>Σύνολο Μορίων με ειδικό Μάθημα</t>
  </si>
  <si>
    <r>
      <t>Οδηγίες</t>
    </r>
    <r>
      <rPr>
        <b/>
        <sz val="16"/>
        <rFont val="Bookman Old Style"/>
        <family val="1"/>
      </rPr>
      <t xml:space="preserve"> 
</t>
    </r>
    <r>
      <rPr>
        <b/>
        <sz val="11"/>
        <rFont val="Bookman Old Style"/>
        <family val="1"/>
      </rPr>
      <t>Με Προφορικό &amp; Γραπτό Βαθμό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</si>
</sst>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56">
    <font>
      <sz val="10"/>
      <name val="Arial"/>
      <family val="0"/>
    </font>
    <font>
      <sz val="8"/>
      <name val="Arial"/>
      <family val="0"/>
    </font>
    <font>
      <b/>
      <sz val="10"/>
      <color indexed="18"/>
      <name val="Tahoma"/>
      <family val="2"/>
    </font>
    <font>
      <b/>
      <sz val="12"/>
      <color indexed="18"/>
      <name val="Tahoma"/>
      <family val="2"/>
    </font>
    <font>
      <b/>
      <u val="single"/>
      <sz val="12"/>
      <color indexed="18"/>
      <name val="Tahoma"/>
      <family val="2"/>
    </font>
    <font>
      <b/>
      <sz val="12"/>
      <color indexed="10"/>
      <name val="Tahoma"/>
      <family val="2"/>
    </font>
    <font>
      <b/>
      <sz val="12"/>
      <color indexed="60"/>
      <name val="Tahoma"/>
      <family val="2"/>
    </font>
    <font>
      <b/>
      <sz val="12"/>
      <color indexed="53"/>
      <name val="Tahoma"/>
      <family val="2"/>
    </font>
    <font>
      <b/>
      <sz val="12"/>
      <name val="Tahoma"/>
      <family val="2"/>
    </font>
    <font>
      <i/>
      <sz val="12"/>
      <name val="Tahoma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8"/>
      <name val="Arial"/>
      <family val="2"/>
    </font>
    <font>
      <b/>
      <i/>
      <sz val="10"/>
      <color indexed="18"/>
      <name val="Arial"/>
      <family val="2"/>
    </font>
    <font>
      <b/>
      <sz val="14"/>
      <color indexed="18"/>
      <name val="Tahoma"/>
      <family val="2"/>
    </font>
    <font>
      <b/>
      <i/>
      <sz val="12"/>
      <name val="Tahoma"/>
      <family val="2"/>
    </font>
    <font>
      <b/>
      <sz val="14"/>
      <name val="Tahoma"/>
      <family val="2"/>
    </font>
    <font>
      <b/>
      <sz val="14"/>
      <color indexed="10"/>
      <name val="Tahoma"/>
      <family val="2"/>
    </font>
    <font>
      <b/>
      <i/>
      <sz val="14"/>
      <color indexed="18"/>
      <name val="Tahoma"/>
      <family val="2"/>
    </font>
    <font>
      <b/>
      <i/>
      <sz val="16"/>
      <color indexed="10"/>
      <name val="Tahoma"/>
      <family val="2"/>
    </font>
    <font>
      <b/>
      <sz val="11"/>
      <color indexed="18"/>
      <name val="Tahoma"/>
      <family val="2"/>
    </font>
    <font>
      <b/>
      <sz val="10"/>
      <name val="Tahoma"/>
      <family val="2"/>
    </font>
    <font>
      <b/>
      <sz val="11"/>
      <color indexed="10"/>
      <name val="Tahoma"/>
      <family val="2"/>
    </font>
    <font>
      <b/>
      <sz val="11"/>
      <name val="Tahoma"/>
      <family val="2"/>
    </font>
    <font>
      <b/>
      <sz val="11"/>
      <color indexed="19"/>
      <name val="Tahoma"/>
      <family val="2"/>
    </font>
    <font>
      <b/>
      <sz val="12"/>
      <color indexed="16"/>
      <name val="Tahoma"/>
      <family val="2"/>
    </font>
    <font>
      <sz val="10"/>
      <name val="Bookman Old Style"/>
      <family val="1"/>
    </font>
    <font>
      <b/>
      <sz val="12"/>
      <color indexed="8"/>
      <name val="Bookman Old Style"/>
      <family val="1"/>
    </font>
    <font>
      <sz val="12"/>
      <color indexed="18"/>
      <name val="Bookman Old Style"/>
      <family val="1"/>
    </font>
    <font>
      <b/>
      <sz val="20"/>
      <color indexed="18"/>
      <name val="Bookman Old Style"/>
      <family val="1"/>
    </font>
    <font>
      <sz val="12"/>
      <name val="Bookman Old Style"/>
      <family val="1"/>
    </font>
    <font>
      <b/>
      <sz val="16"/>
      <color indexed="10"/>
      <name val="Bookman Old Style"/>
      <family val="1"/>
    </font>
    <font>
      <b/>
      <sz val="11"/>
      <color indexed="18"/>
      <name val="Bookman Old Style"/>
      <family val="1"/>
    </font>
    <font>
      <b/>
      <sz val="12"/>
      <name val="Bookman Old Style"/>
      <family val="1"/>
    </font>
    <font>
      <b/>
      <sz val="12"/>
      <color indexed="18"/>
      <name val="Bookman Old Style"/>
      <family val="1"/>
    </font>
    <font>
      <b/>
      <sz val="11"/>
      <color indexed="9"/>
      <name val="Bookman Old Style"/>
      <family val="1"/>
    </font>
    <font>
      <b/>
      <sz val="12"/>
      <color indexed="10"/>
      <name val="Bookman Old Style"/>
      <family val="1"/>
    </font>
    <font>
      <b/>
      <sz val="10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18"/>
      <name val="Bookman Old Style"/>
      <family val="1"/>
    </font>
    <font>
      <b/>
      <sz val="13"/>
      <color indexed="18"/>
      <name val="Bookman Old Style"/>
      <family val="1"/>
    </font>
    <font>
      <sz val="12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color indexed="16"/>
      <name val="Bookman Old Style"/>
      <family val="1"/>
    </font>
    <font>
      <sz val="11"/>
      <name val="Bookman Old Style"/>
      <family val="1"/>
    </font>
    <font>
      <b/>
      <i/>
      <sz val="10"/>
      <name val="Bookman Old Style"/>
      <family val="1"/>
    </font>
    <font>
      <b/>
      <sz val="16"/>
      <name val="Bookman Old Style"/>
      <family val="1"/>
    </font>
    <font>
      <b/>
      <sz val="11"/>
      <name val="Bookman Old Style"/>
      <family val="1"/>
    </font>
    <font>
      <b/>
      <sz val="18"/>
      <name val="Bookman Old Style"/>
      <family val="1"/>
    </font>
    <font>
      <b/>
      <sz val="12"/>
      <color indexed="43"/>
      <name val="Bookman Old Style"/>
      <family val="1"/>
    </font>
    <font>
      <b/>
      <sz val="14"/>
      <color indexed="18"/>
      <name val="Bookman Old Style"/>
      <family val="1"/>
    </font>
    <font>
      <b/>
      <sz val="12"/>
      <color indexed="47"/>
      <name val="Bookman Old Style"/>
      <family val="1"/>
    </font>
    <font>
      <sz val="10"/>
      <color indexed="18"/>
      <name val="Bookman Old Style"/>
      <family val="1"/>
    </font>
    <font>
      <b/>
      <sz val="14"/>
      <color indexed="43"/>
      <name val="Bookman Old Style"/>
      <family val="1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</fills>
  <borders count="1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>
        <color indexed="16"/>
      </top>
      <bottom>
        <color indexed="63"/>
      </bottom>
    </border>
    <border>
      <left style="double"/>
      <right>
        <color indexed="63"/>
      </right>
      <top style="medium">
        <color indexed="16"/>
      </top>
      <bottom>
        <color indexed="63"/>
      </bottom>
    </border>
    <border>
      <left style="double"/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double"/>
      <top>
        <color indexed="63"/>
      </top>
      <bottom style="medium">
        <color indexed="16"/>
      </bottom>
    </border>
    <border>
      <left style="medium">
        <color indexed="16"/>
      </left>
      <right>
        <color indexed="63"/>
      </right>
      <top style="double"/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 style="medium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double"/>
      <right style="medium">
        <color indexed="16"/>
      </right>
      <top style="medium">
        <color indexed="16"/>
      </top>
      <bottom>
        <color indexed="63"/>
      </bottom>
    </border>
    <border>
      <left style="double"/>
      <right style="medium">
        <color indexed="16"/>
      </right>
      <top>
        <color indexed="63"/>
      </top>
      <bottom style="medium">
        <color indexed="16"/>
      </bottom>
    </border>
    <border>
      <left style="medium">
        <color indexed="16"/>
      </left>
      <right style="double"/>
      <top style="double"/>
      <bottom>
        <color indexed="63"/>
      </bottom>
    </border>
    <border>
      <left style="medium">
        <color indexed="16"/>
      </left>
      <right style="double"/>
      <top>
        <color indexed="63"/>
      </top>
      <bottom style="medium">
        <color indexed="16"/>
      </bottom>
    </border>
    <border>
      <left style="medium">
        <color indexed="16"/>
      </left>
      <right style="double"/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 style="double"/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 style="double"/>
    </border>
    <border>
      <left style="double"/>
      <right style="medium">
        <color indexed="16"/>
      </right>
      <top style="double"/>
      <bottom>
        <color indexed="63"/>
      </bottom>
    </border>
    <border>
      <left style="double"/>
      <right style="medium">
        <color indexed="16"/>
      </right>
      <top>
        <color indexed="63"/>
      </top>
      <bottom>
        <color indexed="63"/>
      </bottom>
    </border>
    <border>
      <left style="double"/>
      <right style="medium">
        <color indexed="16"/>
      </right>
      <top>
        <color indexed="63"/>
      </top>
      <bottom style="double"/>
    </border>
    <border>
      <left style="medium">
        <color indexed="16"/>
      </left>
      <right style="medium">
        <color indexed="16"/>
      </right>
      <top>
        <color indexed="63"/>
      </top>
      <bottom style="double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medium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 style="thin">
        <color indexed="16"/>
      </top>
      <bottom style="double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double">
        <color indexed="16"/>
      </bottom>
    </border>
    <border>
      <left>
        <color indexed="63"/>
      </left>
      <right style="medium">
        <color indexed="16"/>
      </right>
      <top style="thin">
        <color indexed="16"/>
      </top>
      <bottom style="double">
        <color indexed="16"/>
      </bottom>
    </border>
    <border>
      <left style="thin"/>
      <right style="thin">
        <color indexed="16"/>
      </right>
      <top style="thin"/>
      <bottom style="hair">
        <color indexed="16"/>
      </bottom>
    </border>
    <border>
      <left style="thin">
        <color indexed="16"/>
      </left>
      <right style="thin">
        <color indexed="16"/>
      </right>
      <top style="thin"/>
      <bottom style="hair">
        <color indexed="16"/>
      </bottom>
    </border>
    <border>
      <left style="thin">
        <color indexed="16"/>
      </left>
      <right style="thin"/>
      <top style="thin"/>
      <bottom>
        <color indexed="63"/>
      </bottom>
    </border>
    <border>
      <left style="thin"/>
      <right style="thin">
        <color indexed="16"/>
      </right>
      <top style="hair">
        <color indexed="16"/>
      </top>
      <bottom style="medium">
        <color indexed="16"/>
      </bottom>
    </border>
    <border>
      <left style="thin"/>
      <right style="thin">
        <color indexed="16"/>
      </right>
      <top style="hair">
        <color indexed="16"/>
      </top>
      <bottom style="hair">
        <color indexed="16"/>
      </bottom>
    </border>
    <border>
      <left style="thin">
        <color indexed="16"/>
      </left>
      <right style="thin">
        <color indexed="16"/>
      </right>
      <top style="hair">
        <color indexed="16"/>
      </top>
      <bottom style="hair">
        <color indexed="16"/>
      </bottom>
    </border>
    <border>
      <left style="thin">
        <color indexed="16"/>
      </left>
      <right style="thin"/>
      <top style="hair">
        <color indexed="16"/>
      </top>
      <bottom style="hair">
        <color indexed="16"/>
      </bottom>
    </border>
    <border>
      <left style="thin"/>
      <right style="double">
        <color indexed="53"/>
      </right>
      <top>
        <color indexed="63"/>
      </top>
      <bottom>
        <color indexed="63"/>
      </bottom>
    </border>
    <border>
      <left style="thin"/>
      <right style="thin">
        <color indexed="16"/>
      </right>
      <top>
        <color indexed="63"/>
      </top>
      <bottom style="hair">
        <color indexed="16"/>
      </bottom>
    </border>
    <border>
      <left style="double">
        <color indexed="53"/>
      </left>
      <right>
        <color indexed="63"/>
      </right>
      <top style="double"/>
      <bottom style="thin">
        <color indexed="53"/>
      </bottom>
    </border>
    <border>
      <left>
        <color indexed="63"/>
      </left>
      <right style="thin">
        <color indexed="53"/>
      </right>
      <top style="double"/>
      <bottom style="thin">
        <color indexed="53"/>
      </bottom>
    </border>
    <border>
      <left style="thin">
        <color indexed="53"/>
      </left>
      <right style="thin">
        <color indexed="53"/>
      </right>
      <top style="double"/>
      <bottom style="thin">
        <color indexed="53"/>
      </bottom>
    </border>
    <border>
      <left>
        <color indexed="63"/>
      </left>
      <right style="double">
        <color indexed="53"/>
      </right>
      <top>
        <color indexed="63"/>
      </top>
      <bottom>
        <color indexed="63"/>
      </bottom>
    </border>
    <border>
      <left style="thin">
        <color indexed="16"/>
      </left>
      <right style="thin">
        <color indexed="16"/>
      </right>
      <top>
        <color indexed="63"/>
      </top>
      <bottom style="hair">
        <color indexed="16"/>
      </bottom>
    </border>
    <border>
      <left style="thin">
        <color indexed="16"/>
      </left>
      <right style="thin"/>
      <top>
        <color indexed="63"/>
      </top>
      <bottom style="hair">
        <color indexed="16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double">
        <color indexed="53"/>
      </bottom>
    </border>
    <border>
      <left style="thin"/>
      <right style="thin">
        <color indexed="16"/>
      </right>
      <top>
        <color indexed="63"/>
      </top>
      <bottom style="thin"/>
    </border>
    <border>
      <left style="thin">
        <color indexed="16"/>
      </left>
      <right style="thin">
        <color indexed="16"/>
      </right>
      <top>
        <color indexed="63"/>
      </top>
      <bottom style="thin"/>
    </border>
    <border>
      <left style="thin">
        <color indexed="16"/>
      </left>
      <right style="thin"/>
      <top>
        <color indexed="63"/>
      </top>
      <bottom style="thin"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16"/>
      </left>
      <right style="double"/>
      <top>
        <color indexed="63"/>
      </top>
      <bottom style="hair">
        <color indexed="16"/>
      </bottom>
    </border>
    <border>
      <left style="thin">
        <color indexed="16"/>
      </left>
      <right style="double"/>
      <top style="hair">
        <color indexed="16"/>
      </top>
      <bottom style="hair">
        <color indexed="16"/>
      </bottom>
    </border>
    <border>
      <left style="thin">
        <color indexed="16"/>
      </left>
      <right style="thin">
        <color indexed="16"/>
      </right>
      <top style="hair">
        <color indexed="16"/>
      </top>
      <bottom style="double"/>
    </border>
    <border>
      <left style="thin">
        <color indexed="16"/>
      </left>
      <right style="double"/>
      <top style="hair">
        <color indexed="16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 style="double">
        <color indexed="16"/>
      </left>
      <right style="medium">
        <color indexed="16"/>
      </right>
      <top style="double">
        <color indexed="16"/>
      </top>
      <bottom style="thick">
        <color indexed="16"/>
      </bottom>
    </border>
    <border>
      <left style="medium">
        <color indexed="16"/>
      </left>
      <right style="medium">
        <color indexed="16"/>
      </right>
      <top style="double">
        <color indexed="16"/>
      </top>
      <bottom style="thick">
        <color indexed="16"/>
      </bottom>
    </border>
    <border>
      <left style="medium">
        <color indexed="16"/>
      </left>
      <right style="double">
        <color indexed="16"/>
      </right>
      <top style="double">
        <color indexed="16"/>
      </top>
      <bottom style="thick">
        <color indexed="16"/>
      </bottom>
    </border>
    <border>
      <left style="double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double">
        <color indexed="53"/>
      </left>
      <right>
        <color indexed="63"/>
      </right>
      <top style="thin">
        <color indexed="53"/>
      </top>
      <bottom style="double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double">
        <color indexed="5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6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thin"/>
      <top>
        <color indexed="63"/>
      </top>
      <bottom style="medium">
        <color indexed="1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double">
        <color indexed="16"/>
      </left>
      <right style="medium">
        <color indexed="16"/>
      </right>
      <top>
        <color indexed="63"/>
      </top>
      <bottom style="thin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 style="thin">
        <color indexed="16"/>
      </bottom>
    </border>
    <border>
      <left style="medium">
        <color indexed="16"/>
      </left>
      <right style="double">
        <color indexed="16"/>
      </right>
      <top>
        <color indexed="63"/>
      </top>
      <bottom style="thin">
        <color indexed="16"/>
      </bottom>
    </border>
    <border>
      <left style="thin"/>
      <right style="double">
        <color indexed="53"/>
      </right>
      <top style="thin">
        <color indexed="53"/>
      </top>
      <bottom style="double">
        <color indexed="53"/>
      </bottom>
    </border>
    <border>
      <left>
        <color indexed="63"/>
      </left>
      <right style="thin">
        <color indexed="16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hair">
        <color indexed="16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16"/>
      </right>
      <top>
        <color indexed="63"/>
      </top>
      <bottom style="double"/>
    </border>
    <border>
      <left>
        <color indexed="63"/>
      </left>
      <right style="thin">
        <color indexed="16"/>
      </right>
      <top style="hair">
        <color indexed="16"/>
      </top>
      <bottom style="hair">
        <color indexed="16"/>
      </bottom>
    </border>
    <border>
      <left>
        <color indexed="63"/>
      </left>
      <right style="thin">
        <color indexed="16"/>
      </right>
      <top style="hair">
        <color indexed="16"/>
      </top>
      <bottom style="double"/>
    </border>
    <border>
      <left style="double"/>
      <right>
        <color indexed="63"/>
      </right>
      <top style="double"/>
      <bottom style="medium">
        <color indexed="16"/>
      </bottom>
    </border>
    <border>
      <left>
        <color indexed="63"/>
      </left>
      <right>
        <color indexed="63"/>
      </right>
      <top style="double"/>
      <bottom style="medium">
        <color indexed="16"/>
      </bottom>
    </border>
    <border>
      <left>
        <color indexed="63"/>
      </left>
      <right style="double"/>
      <top style="double"/>
      <bottom style="medium">
        <color indexed="16"/>
      </bottom>
    </border>
    <border>
      <left style="thin">
        <color indexed="16"/>
      </left>
      <right style="thin"/>
      <top style="thin"/>
      <bottom style="hair">
        <color indexed="16"/>
      </bottom>
    </border>
    <border>
      <left style="thin">
        <color indexed="16"/>
      </left>
      <right style="thin">
        <color indexed="16"/>
      </right>
      <top style="hair">
        <color indexed="16"/>
      </top>
      <bottom style="medium">
        <color indexed="16"/>
      </bottom>
    </border>
    <border>
      <left style="thin">
        <color indexed="16"/>
      </left>
      <right style="thin"/>
      <top style="hair">
        <color indexed="16"/>
      </top>
      <bottom style="medium">
        <color indexed="16"/>
      </bottom>
    </border>
    <border>
      <left style="thin">
        <color indexed="16"/>
      </left>
      <right>
        <color indexed="63"/>
      </right>
      <top style="hair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hair">
        <color indexed="16"/>
      </top>
      <bottom style="medium">
        <color indexed="16"/>
      </bottom>
    </border>
    <border>
      <left style="thin">
        <color indexed="16"/>
      </left>
      <right>
        <color indexed="63"/>
      </right>
      <top style="hair">
        <color indexed="16"/>
      </top>
      <bottom>
        <color indexed="63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 style="thin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thin"/>
      <top style="hair">
        <color indexed="16"/>
      </top>
      <bottom>
        <color indexed="63"/>
      </bottom>
    </border>
    <border>
      <left>
        <color indexed="63"/>
      </left>
      <right style="thin"/>
      <top style="hair">
        <color indexed="16"/>
      </top>
      <bottom style="hair">
        <color indexed="16"/>
      </bottom>
    </border>
    <border>
      <left>
        <color indexed="63"/>
      </left>
      <right style="double"/>
      <top>
        <color indexed="63"/>
      </top>
      <bottom style="hair">
        <color indexed="16"/>
      </bottom>
    </border>
    <border>
      <left style="medium">
        <color indexed="16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medium">
        <color indexed="16"/>
      </left>
      <right style="double">
        <color indexed="16"/>
      </right>
      <top style="thin">
        <color indexed="16"/>
      </top>
      <bottom style="double">
        <color indexed="16"/>
      </bottom>
    </border>
    <border>
      <left>
        <color indexed="63"/>
      </left>
      <right style="double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double">
        <color indexed="53"/>
      </right>
      <top style="thin">
        <color indexed="53"/>
      </top>
      <bottom style="double">
        <color indexed="5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0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27" xfId="0" applyFont="1" applyBorder="1" applyAlignment="1">
      <alignment/>
    </xf>
    <xf numFmtId="0" fontId="0" fillId="0" borderId="28" xfId="0" applyBorder="1" applyAlignment="1">
      <alignment horizontal="center"/>
    </xf>
    <xf numFmtId="0" fontId="22" fillId="0" borderId="0" xfId="0" applyFont="1" applyAlignment="1">
      <alignment/>
    </xf>
    <xf numFmtId="0" fontId="13" fillId="2" borderId="4" xfId="0" applyFont="1" applyFill="1" applyBorder="1" applyAlignment="1">
      <alignment horizontal="center" vertical="center" textRotation="90" wrapText="1"/>
    </xf>
    <xf numFmtId="0" fontId="13" fillId="2" borderId="4" xfId="0" applyFont="1" applyFill="1" applyBorder="1" applyAlignment="1">
      <alignment horizontal="center" vertical="center" textRotation="90" wrapText="1" shrinkToFit="1"/>
    </xf>
    <xf numFmtId="0" fontId="27" fillId="0" borderId="0" xfId="0" applyFont="1" applyAlignment="1">
      <alignment/>
    </xf>
    <xf numFmtId="0" fontId="28" fillId="3" borderId="29" xfId="0" applyFont="1" applyFill="1" applyBorder="1" applyAlignment="1">
      <alignment horizontal="right" vertical="center"/>
    </xf>
    <xf numFmtId="0" fontId="29" fillId="0" borderId="29" xfId="0" applyFont="1" applyBorder="1" applyAlignment="1">
      <alignment vertical="center"/>
    </xf>
    <xf numFmtId="0" fontId="30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31" fillId="0" borderId="29" xfId="0" applyFont="1" applyBorder="1" applyAlignment="1">
      <alignment vertical="center"/>
    </xf>
    <xf numFmtId="0" fontId="34" fillId="0" borderId="0" xfId="0" applyFont="1" applyFill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8" fillId="3" borderId="30" xfId="0" applyFont="1" applyFill="1" applyBorder="1" applyAlignment="1">
      <alignment horizontal="center" vertical="center"/>
    </xf>
    <xf numFmtId="0" fontId="35" fillId="0" borderId="31" xfId="0" applyFont="1" applyBorder="1" applyAlignment="1" applyProtection="1">
      <alignment horizontal="center" vertical="center"/>
      <protection/>
    </xf>
    <xf numFmtId="0" fontId="27" fillId="0" borderId="0" xfId="0" applyFont="1" applyAlignment="1">
      <alignment vertical="center"/>
    </xf>
    <xf numFmtId="0" fontId="32" fillId="0" borderId="0" xfId="0" applyFont="1" applyBorder="1" applyAlignment="1" applyProtection="1">
      <alignment horizontal="left"/>
      <protection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 applyProtection="1">
      <alignment horizontal="center" vertical="center"/>
      <protection/>
    </xf>
    <xf numFmtId="0" fontId="39" fillId="3" borderId="32" xfId="0" applyFont="1" applyFill="1" applyBorder="1" applyAlignment="1">
      <alignment horizontal="center" vertical="center"/>
    </xf>
    <xf numFmtId="0" fontId="39" fillId="3" borderId="33" xfId="0" applyFont="1" applyFill="1" applyBorder="1" applyAlignment="1">
      <alignment horizontal="center" vertical="center"/>
    </xf>
    <xf numFmtId="0" fontId="39" fillId="3" borderId="34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vertical="center"/>
    </xf>
    <xf numFmtId="0" fontId="27" fillId="0" borderId="0" xfId="0" applyFont="1" applyBorder="1" applyAlignment="1" applyProtection="1">
      <alignment/>
      <protection/>
    </xf>
    <xf numFmtId="0" fontId="39" fillId="3" borderId="36" xfId="0" applyFont="1" applyFill="1" applyBorder="1" applyAlignment="1">
      <alignment horizontal="center" vertical="center"/>
    </xf>
    <xf numFmtId="0" fontId="39" fillId="3" borderId="37" xfId="0" applyFont="1" applyFill="1" applyBorder="1" applyAlignment="1">
      <alignment horizontal="center" vertical="center"/>
    </xf>
    <xf numFmtId="0" fontId="39" fillId="3" borderId="38" xfId="0" applyFont="1" applyFill="1" applyBorder="1" applyAlignment="1">
      <alignment horizontal="center" vertical="center"/>
    </xf>
    <xf numFmtId="0" fontId="35" fillId="3" borderId="39" xfId="0" applyFont="1" applyFill="1" applyBorder="1" applyAlignment="1">
      <alignment horizontal="center" vertical="center" wrapText="1"/>
    </xf>
    <xf numFmtId="0" fontId="40" fillId="3" borderId="40" xfId="0" applyFont="1" applyFill="1" applyBorder="1" applyAlignment="1">
      <alignment horizontal="center" vertical="center" wrapText="1"/>
    </xf>
    <xf numFmtId="0" fontId="40" fillId="3" borderId="41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 wrapText="1"/>
    </xf>
    <xf numFmtId="0" fontId="35" fillId="3" borderId="42" xfId="0" applyFont="1" applyFill="1" applyBorder="1" applyAlignment="1">
      <alignment horizontal="center" vertical="center" wrapText="1"/>
    </xf>
    <xf numFmtId="0" fontId="42" fillId="3" borderId="43" xfId="0" applyFont="1" applyFill="1" applyBorder="1" applyAlignment="1">
      <alignment horizontal="center"/>
    </xf>
    <xf numFmtId="0" fontId="27" fillId="0" borderId="44" xfId="0" applyFont="1" applyBorder="1" applyAlignment="1">
      <alignment/>
    </xf>
    <xf numFmtId="0" fontId="40" fillId="4" borderId="45" xfId="0" applyFont="1" applyFill="1" applyBorder="1" applyAlignment="1">
      <alignment horizontal="center"/>
    </xf>
    <xf numFmtId="0" fontId="33" fillId="0" borderId="46" xfId="0" applyFont="1" applyFill="1" applyBorder="1" applyAlignment="1">
      <alignment vertical="center" textRotation="90" wrapText="1"/>
    </xf>
    <xf numFmtId="0" fontId="43" fillId="3" borderId="47" xfId="0" applyFont="1" applyFill="1" applyBorder="1" applyAlignment="1">
      <alignment/>
    </xf>
    <xf numFmtId="0" fontId="44" fillId="0" borderId="48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44" fillId="0" borderId="50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42" fillId="3" borderId="47" xfId="0" applyFont="1" applyFill="1" applyBorder="1" applyAlignment="1">
      <alignment horizontal="center"/>
    </xf>
    <xf numFmtId="0" fontId="27" fillId="0" borderId="52" xfId="0" applyFont="1" applyBorder="1" applyAlignment="1">
      <alignment vertical="center"/>
    </xf>
    <xf numFmtId="0" fontId="40" fillId="4" borderId="53" xfId="0" applyFont="1" applyFill="1" applyBorder="1" applyAlignment="1">
      <alignment horizontal="center"/>
    </xf>
    <xf numFmtId="0" fontId="40" fillId="5" borderId="54" xfId="0" applyFont="1" applyFill="1" applyBorder="1" applyAlignment="1">
      <alignment horizontal="center" vertical="center"/>
    </xf>
    <xf numFmtId="0" fontId="27" fillId="0" borderId="44" xfId="0" applyFont="1" applyBorder="1" applyAlignment="1">
      <alignment vertical="center"/>
    </xf>
    <xf numFmtId="0" fontId="40" fillId="5" borderId="55" xfId="0" applyFont="1" applyFill="1" applyBorder="1" applyAlignment="1">
      <alignment horizontal="center"/>
    </xf>
    <xf numFmtId="0" fontId="43" fillId="3" borderId="43" xfId="0" applyFont="1" applyFill="1" applyBorder="1" applyAlignment="1">
      <alignment/>
    </xf>
    <xf numFmtId="0" fontId="42" fillId="3" borderId="56" xfId="0" applyFont="1" applyFill="1" applyBorder="1" applyAlignment="1">
      <alignment horizontal="center"/>
    </xf>
    <xf numFmtId="0" fontId="27" fillId="0" borderId="57" xfId="0" applyFont="1" applyBorder="1" applyAlignment="1">
      <alignment/>
    </xf>
    <xf numFmtId="0" fontId="40" fillId="4" borderId="58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4" fillId="2" borderId="59" xfId="0" applyFont="1" applyFill="1" applyBorder="1" applyAlignment="1">
      <alignment horizontal="center"/>
    </xf>
    <xf numFmtId="0" fontId="40" fillId="0" borderId="52" xfId="0" applyFont="1" applyBorder="1" applyAlignment="1">
      <alignment horizontal="center"/>
    </xf>
    <xf numFmtId="0" fontId="40" fillId="0" borderId="60" xfId="0" applyFont="1" applyBorder="1" applyAlignment="1">
      <alignment horizontal="center"/>
    </xf>
    <xf numFmtId="0" fontId="40" fillId="0" borderId="44" xfId="0" applyFont="1" applyBorder="1" applyAlignment="1">
      <alignment horizontal="center"/>
    </xf>
    <xf numFmtId="0" fontId="40" fillId="0" borderId="61" xfId="0" applyFont="1" applyBorder="1" applyAlignment="1">
      <alignment horizontal="center"/>
    </xf>
    <xf numFmtId="0" fontId="40" fillId="0" borderId="62" xfId="0" applyFont="1" applyBorder="1" applyAlignment="1">
      <alignment horizontal="center"/>
    </xf>
    <xf numFmtId="0" fontId="40" fillId="0" borderId="63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7" fillId="3" borderId="0" xfId="0" applyFont="1" applyFill="1" applyBorder="1" applyAlignment="1">
      <alignment horizontal="center" vertical="center" wrapText="1"/>
    </xf>
    <xf numFmtId="0" fontId="49" fillId="3" borderId="0" xfId="0" applyFont="1" applyFill="1" applyBorder="1" applyAlignment="1">
      <alignment horizontal="center" vertical="center" wrapText="1"/>
    </xf>
    <xf numFmtId="0" fontId="49" fillId="3" borderId="64" xfId="0" applyFont="1" applyFill="1" applyBorder="1" applyAlignment="1">
      <alignment horizontal="center" vertical="center" wrapText="1"/>
    </xf>
    <xf numFmtId="0" fontId="33" fillId="5" borderId="65" xfId="0" applyFont="1" applyFill="1" applyBorder="1" applyAlignment="1">
      <alignment horizontal="center" vertical="center"/>
    </xf>
    <xf numFmtId="0" fontId="33" fillId="5" borderId="66" xfId="0" applyFont="1" applyFill="1" applyBorder="1" applyAlignment="1">
      <alignment horizontal="center" vertical="center"/>
    </xf>
    <xf numFmtId="0" fontId="33" fillId="5" borderId="67" xfId="0" applyFont="1" applyFill="1" applyBorder="1" applyAlignment="1">
      <alignment horizontal="center" vertical="center"/>
    </xf>
    <xf numFmtId="0" fontId="38" fillId="3" borderId="68" xfId="0" applyFont="1" applyFill="1" applyBorder="1" applyAlignment="1">
      <alignment horizontal="left" vertical="center"/>
    </xf>
    <xf numFmtId="0" fontId="38" fillId="3" borderId="69" xfId="0" applyFont="1" applyFill="1" applyBorder="1" applyAlignment="1">
      <alignment horizontal="left" vertical="center"/>
    </xf>
    <xf numFmtId="0" fontId="38" fillId="3" borderId="70" xfId="0" applyFont="1" applyFill="1" applyBorder="1" applyAlignment="1">
      <alignment horizontal="left"/>
    </xf>
    <xf numFmtId="0" fontId="38" fillId="3" borderId="71" xfId="0" applyFont="1" applyFill="1" applyBorder="1" applyAlignment="1">
      <alignment horizontal="left"/>
    </xf>
    <xf numFmtId="0" fontId="48" fillId="3" borderId="72" xfId="0" applyFont="1" applyFill="1" applyBorder="1" applyAlignment="1">
      <alignment horizontal="center" vertical="center" textRotation="90" wrapText="1" shrinkToFit="1"/>
    </xf>
    <xf numFmtId="0" fontId="45" fillId="3" borderId="73" xfId="0" applyFont="1" applyFill="1" applyBorder="1" applyAlignment="1">
      <alignment/>
    </xf>
    <xf numFmtId="0" fontId="45" fillId="3" borderId="74" xfId="0" applyFont="1" applyFill="1" applyBorder="1" applyAlignment="1">
      <alignment/>
    </xf>
    <xf numFmtId="0" fontId="48" fillId="3" borderId="75" xfId="0" applyFont="1" applyFill="1" applyBorder="1" applyAlignment="1">
      <alignment horizontal="center" vertical="center"/>
    </xf>
    <xf numFmtId="0" fontId="48" fillId="3" borderId="76" xfId="0" applyFont="1" applyFill="1" applyBorder="1" applyAlignment="1">
      <alignment horizontal="center" vertical="center"/>
    </xf>
    <xf numFmtId="0" fontId="48" fillId="3" borderId="77" xfId="0" applyFont="1" applyFill="1" applyBorder="1" applyAlignment="1">
      <alignment horizontal="center" vertical="center"/>
    </xf>
    <xf numFmtId="0" fontId="33" fillId="6" borderId="78" xfId="0" applyFont="1" applyFill="1" applyBorder="1" applyAlignment="1">
      <alignment horizontal="center"/>
    </xf>
    <xf numFmtId="0" fontId="33" fillId="6" borderId="79" xfId="0" applyFont="1" applyFill="1" applyBorder="1" applyAlignment="1">
      <alignment horizontal="center"/>
    </xf>
    <xf numFmtId="0" fontId="35" fillId="4" borderId="80" xfId="0" applyFont="1" applyFill="1" applyBorder="1" applyAlignment="1">
      <alignment horizontal="center"/>
    </xf>
    <xf numFmtId="0" fontId="52" fillId="7" borderId="80" xfId="0" applyFont="1" applyFill="1" applyBorder="1" applyAlignment="1">
      <alignment horizontal="right"/>
    </xf>
    <xf numFmtId="0" fontId="36" fillId="7" borderId="81" xfId="0" applyFont="1" applyFill="1" applyBorder="1" applyAlignment="1">
      <alignment horizontal="center" vertical="center"/>
    </xf>
    <xf numFmtId="0" fontId="36" fillId="7" borderId="82" xfId="0" applyFont="1" applyFill="1" applyBorder="1" applyAlignment="1">
      <alignment horizontal="center" vertical="center"/>
    </xf>
    <xf numFmtId="0" fontId="50" fillId="8" borderId="59" xfId="0" applyFont="1" applyFill="1" applyBorder="1" applyAlignment="1">
      <alignment horizontal="center"/>
    </xf>
    <xf numFmtId="0" fontId="35" fillId="5" borderId="59" xfId="0" applyFont="1" applyFill="1" applyBorder="1" applyAlignment="1">
      <alignment horizontal="center"/>
    </xf>
    <xf numFmtId="0" fontId="37" fillId="4" borderId="83" xfId="0" applyFont="1" applyFill="1" applyBorder="1" applyAlignment="1">
      <alignment horizontal="center" vertical="center"/>
    </xf>
    <xf numFmtId="0" fontId="37" fillId="4" borderId="84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/>
    </xf>
    <xf numFmtId="0" fontId="27" fillId="3" borderId="85" xfId="0" applyFont="1" applyFill="1" applyBorder="1" applyAlignment="1">
      <alignment/>
    </xf>
    <xf numFmtId="0" fontId="40" fillId="3" borderId="86" xfId="0" applyFont="1" applyFill="1" applyBorder="1" applyAlignment="1">
      <alignment horizontal="right"/>
    </xf>
    <xf numFmtId="0" fontId="40" fillId="3" borderId="87" xfId="0" applyFont="1" applyFill="1" applyBorder="1" applyAlignment="1">
      <alignment horizontal="right"/>
    </xf>
    <xf numFmtId="0" fontId="40" fillId="3" borderId="3" xfId="0" applyFont="1" applyFill="1" applyBorder="1" applyAlignment="1">
      <alignment horizontal="right"/>
    </xf>
    <xf numFmtId="0" fontId="40" fillId="3" borderId="85" xfId="0" applyFont="1" applyFill="1" applyBorder="1" applyAlignment="1">
      <alignment horizontal="right"/>
    </xf>
    <xf numFmtId="0" fontId="40" fillId="3" borderId="88" xfId="0" applyFont="1" applyFill="1" applyBorder="1" applyAlignment="1">
      <alignment horizontal="right"/>
    </xf>
    <xf numFmtId="0" fontId="40" fillId="3" borderId="89" xfId="0" applyFont="1" applyFill="1" applyBorder="1" applyAlignment="1">
      <alignment horizontal="right"/>
    </xf>
    <xf numFmtId="0" fontId="27" fillId="3" borderId="87" xfId="0" applyFont="1" applyFill="1" applyBorder="1" applyAlignment="1">
      <alignment/>
    </xf>
    <xf numFmtId="0" fontId="40" fillId="3" borderId="90" xfId="0" applyFont="1" applyFill="1" applyBorder="1" applyAlignment="1">
      <alignment/>
    </xf>
    <xf numFmtId="0" fontId="27" fillId="3" borderId="90" xfId="0" applyFont="1" applyFill="1" applyBorder="1" applyAlignment="1">
      <alignment/>
    </xf>
    <xf numFmtId="0" fontId="40" fillId="3" borderId="91" xfId="0" applyFont="1" applyFill="1" applyBorder="1" applyAlignment="1">
      <alignment/>
    </xf>
    <xf numFmtId="0" fontId="51" fillId="3" borderId="92" xfId="0" applyFont="1" applyFill="1" applyBorder="1" applyAlignment="1">
      <alignment horizontal="center" vertical="center"/>
    </xf>
    <xf numFmtId="0" fontId="51" fillId="3" borderId="93" xfId="0" applyFont="1" applyFill="1" applyBorder="1" applyAlignment="1">
      <alignment horizontal="center" vertical="center"/>
    </xf>
    <xf numFmtId="0" fontId="51" fillId="3" borderId="94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35" fillId="3" borderId="29" xfId="0" applyFont="1" applyFill="1" applyBorder="1" applyAlignment="1">
      <alignment horizontal="right" vertical="center"/>
    </xf>
    <xf numFmtId="0" fontId="34" fillId="3" borderId="29" xfId="0" applyFont="1" applyFill="1" applyBorder="1" applyAlignment="1">
      <alignment horizontal="right" vertical="center"/>
    </xf>
    <xf numFmtId="0" fontId="34" fillId="0" borderId="0" xfId="0" applyFont="1" applyBorder="1" applyAlignment="1">
      <alignment horizontal="right"/>
    </xf>
    <xf numFmtId="0" fontId="34" fillId="3" borderId="3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0" fillId="3" borderId="40" xfId="0" applyFont="1" applyFill="1" applyBorder="1" applyAlignment="1" applyProtection="1">
      <alignment horizontal="center" vertical="center" wrapText="1"/>
      <protection/>
    </xf>
    <xf numFmtId="0" fontId="35" fillId="3" borderId="40" xfId="0" applyFont="1" applyFill="1" applyBorder="1" applyAlignment="1" applyProtection="1">
      <alignment horizontal="center" vertical="center" wrapText="1"/>
      <protection/>
    </xf>
    <xf numFmtId="0" fontId="40" fillId="3" borderId="40" xfId="0" applyFont="1" applyFill="1" applyBorder="1" applyAlignment="1" applyProtection="1">
      <alignment horizontal="center" vertical="center" wrapText="1"/>
      <protection/>
    </xf>
    <xf numFmtId="0" fontId="40" fillId="3" borderId="95" xfId="0" applyFont="1" applyFill="1" applyBorder="1" applyAlignment="1" applyProtection="1">
      <alignment horizontal="center" vertical="center" wrapText="1"/>
      <protection/>
    </xf>
    <xf numFmtId="0" fontId="40" fillId="3" borderId="96" xfId="0" applyFont="1" applyFill="1" applyBorder="1" applyAlignment="1" applyProtection="1">
      <alignment horizontal="center" vertical="center" wrapText="1"/>
      <protection/>
    </xf>
    <xf numFmtId="0" fontId="40" fillId="3" borderId="97" xfId="0" applyFont="1" applyFill="1" applyBorder="1" applyAlignment="1" applyProtection="1">
      <alignment horizontal="center" vertical="center" wrapText="1"/>
      <protection/>
    </xf>
    <xf numFmtId="0" fontId="27" fillId="0" borderId="44" xfId="0" applyFont="1" applyBorder="1" applyAlignment="1" applyProtection="1">
      <alignment horizontal="center"/>
      <protection/>
    </xf>
    <xf numFmtId="0" fontId="27" fillId="6" borderId="44" xfId="0" applyFont="1" applyFill="1" applyBorder="1" applyAlignment="1">
      <alignment horizontal="center"/>
    </xf>
    <xf numFmtId="0" fontId="27" fillId="0" borderId="52" xfId="0" applyFont="1" applyBorder="1" applyAlignment="1">
      <alignment/>
    </xf>
    <xf numFmtId="0" fontId="27" fillId="0" borderId="52" xfId="0" applyFont="1" applyBorder="1" applyAlignment="1" applyProtection="1">
      <alignment horizontal="center"/>
      <protection/>
    </xf>
    <xf numFmtId="0" fontId="27" fillId="6" borderId="52" xfId="0" applyFont="1" applyFill="1" applyBorder="1" applyAlignment="1">
      <alignment horizontal="center"/>
    </xf>
    <xf numFmtId="0" fontId="53" fillId="6" borderId="52" xfId="0" applyFont="1" applyFill="1" applyBorder="1" applyAlignment="1">
      <alignment horizontal="center"/>
    </xf>
    <xf numFmtId="0" fontId="53" fillId="6" borderId="44" xfId="0" applyFont="1" applyFill="1" applyBorder="1" applyAlignment="1">
      <alignment horizontal="center"/>
    </xf>
    <xf numFmtId="0" fontId="27" fillId="0" borderId="57" xfId="0" applyFont="1" applyBorder="1" applyAlignment="1" applyProtection="1">
      <alignment horizontal="center"/>
      <protection/>
    </xf>
    <xf numFmtId="0" fontId="52" fillId="7" borderId="80" xfId="0" applyFont="1" applyFill="1" applyBorder="1" applyAlignment="1">
      <alignment horizontal="center"/>
    </xf>
    <xf numFmtId="0" fontId="31" fillId="3" borderId="43" xfId="0" applyFont="1" applyFill="1" applyBorder="1" applyAlignment="1">
      <alignment horizontal="center"/>
    </xf>
    <xf numFmtId="0" fontId="27" fillId="3" borderId="47" xfId="0" applyFont="1" applyFill="1" applyBorder="1" applyAlignment="1">
      <alignment/>
    </xf>
    <xf numFmtId="0" fontId="31" fillId="3" borderId="47" xfId="0" applyFont="1" applyFill="1" applyBorder="1" applyAlignment="1">
      <alignment horizontal="center"/>
    </xf>
    <xf numFmtId="0" fontId="27" fillId="3" borderId="43" xfId="0" applyFont="1" applyFill="1" applyBorder="1" applyAlignment="1">
      <alignment/>
    </xf>
    <xf numFmtId="0" fontId="31" fillId="3" borderId="56" xfId="0" applyFont="1" applyFill="1" applyBorder="1" applyAlignment="1">
      <alignment horizontal="center"/>
    </xf>
    <xf numFmtId="0" fontId="35" fillId="6" borderId="98" xfId="0" applyFont="1" applyFill="1" applyBorder="1" applyAlignment="1">
      <alignment horizontal="center"/>
    </xf>
    <xf numFmtId="0" fontId="35" fillId="6" borderId="99" xfId="0" applyFont="1" applyFill="1" applyBorder="1" applyAlignment="1">
      <alignment horizontal="center"/>
    </xf>
    <xf numFmtId="0" fontId="35" fillId="6" borderId="100" xfId="0" applyFont="1" applyFill="1" applyBorder="1" applyAlignment="1">
      <alignment horizontal="center"/>
    </xf>
    <xf numFmtId="0" fontId="35" fillId="6" borderId="101" xfId="0" applyFont="1" applyFill="1" applyBorder="1" applyAlignment="1">
      <alignment horizontal="center" vertical="center"/>
    </xf>
    <xf numFmtId="0" fontId="35" fillId="6" borderId="102" xfId="0" applyFont="1" applyFill="1" applyBorder="1" applyAlignment="1">
      <alignment horizontal="center" vertical="center"/>
    </xf>
    <xf numFmtId="0" fontId="35" fillId="6" borderId="103" xfId="0" applyFont="1" applyFill="1" applyBorder="1" applyAlignment="1">
      <alignment horizontal="center"/>
    </xf>
    <xf numFmtId="0" fontId="35" fillId="6" borderId="104" xfId="0" applyFont="1" applyFill="1" applyBorder="1" applyAlignment="1">
      <alignment horizontal="center"/>
    </xf>
    <xf numFmtId="0" fontId="35" fillId="3" borderId="102" xfId="0" applyFont="1" applyFill="1" applyBorder="1" applyAlignment="1">
      <alignment horizontal="center" vertical="center"/>
    </xf>
    <xf numFmtId="0" fontId="35" fillId="3" borderId="105" xfId="0" applyFont="1" applyFill="1" applyBorder="1" applyAlignment="1">
      <alignment horizontal="center" vertical="center"/>
    </xf>
    <xf numFmtId="0" fontId="35" fillId="3" borderId="104" xfId="0" applyFont="1" applyFill="1" applyBorder="1" applyAlignment="1">
      <alignment horizontal="center"/>
    </xf>
    <xf numFmtId="0" fontId="35" fillId="3" borderId="106" xfId="0" applyFont="1" applyFill="1" applyBorder="1" applyAlignment="1">
      <alignment horizontal="center"/>
    </xf>
    <xf numFmtId="0" fontId="54" fillId="8" borderId="92" xfId="0" applyFont="1" applyFill="1" applyBorder="1" applyAlignment="1">
      <alignment horizontal="center" vertical="center"/>
    </xf>
    <xf numFmtId="0" fontId="54" fillId="8" borderId="93" xfId="0" applyFont="1" applyFill="1" applyBorder="1" applyAlignment="1">
      <alignment horizontal="center" vertical="center"/>
    </xf>
    <xf numFmtId="0" fontId="54" fillId="8" borderId="94" xfId="0" applyFont="1" applyFill="1" applyBorder="1" applyAlignment="1">
      <alignment horizontal="center" vertical="center"/>
    </xf>
    <xf numFmtId="3" fontId="27" fillId="5" borderId="4" xfId="0" applyNumberFormat="1" applyFont="1" applyFill="1" applyBorder="1" applyAlignment="1">
      <alignment/>
    </xf>
    <xf numFmtId="3" fontId="37" fillId="5" borderId="107" xfId="0" applyNumberFormat="1" applyFont="1" applyFill="1" applyBorder="1" applyAlignment="1">
      <alignment horizontal="center"/>
    </xf>
    <xf numFmtId="3" fontId="37" fillId="5" borderId="4" xfId="0" applyNumberFormat="1" applyFont="1" applyFill="1" applyBorder="1" applyAlignment="1">
      <alignment horizontal="center"/>
    </xf>
    <xf numFmtId="3" fontId="37" fillId="5" borderId="5" xfId="0" applyNumberFormat="1" applyFont="1" applyFill="1" applyBorder="1" applyAlignment="1">
      <alignment horizontal="center"/>
    </xf>
    <xf numFmtId="3" fontId="40" fillId="5" borderId="108" xfId="0" applyNumberFormat="1" applyFont="1" applyFill="1" applyBorder="1" applyAlignment="1">
      <alignment horizontal="center" vertical="center"/>
    </xf>
    <xf numFmtId="3" fontId="40" fillId="5" borderId="109" xfId="0" applyNumberFormat="1" applyFont="1" applyFill="1" applyBorder="1" applyAlignment="1">
      <alignment horizontal="center" vertical="center"/>
    </xf>
    <xf numFmtId="3" fontId="40" fillId="5" borderId="110" xfId="0" applyNumberFormat="1" applyFont="1" applyFill="1" applyBorder="1" applyAlignment="1">
      <alignment horizontal="center" vertical="center"/>
    </xf>
    <xf numFmtId="3" fontId="40" fillId="5" borderId="111" xfId="0" applyNumberFormat="1" applyFont="1" applyFill="1" applyBorder="1" applyAlignment="1">
      <alignment horizontal="center"/>
    </xf>
    <xf numFmtId="3" fontId="40" fillId="5" borderId="4" xfId="0" applyNumberFormat="1" applyFont="1" applyFill="1" applyBorder="1" applyAlignment="1">
      <alignment/>
    </xf>
    <xf numFmtId="3" fontId="35" fillId="5" borderId="107" xfId="0" applyNumberFormat="1" applyFont="1" applyFill="1" applyBorder="1" applyAlignment="1">
      <alignment horizontal="center"/>
    </xf>
    <xf numFmtId="3" fontId="35" fillId="5" borderId="4" xfId="0" applyNumberFormat="1" applyFont="1" applyFill="1" applyBorder="1" applyAlignment="1">
      <alignment horizontal="center"/>
    </xf>
    <xf numFmtId="3" fontId="35" fillId="5" borderId="5" xfId="0" applyNumberFormat="1" applyFont="1" applyFill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34" fillId="3" borderId="112" xfId="0" applyFont="1" applyFill="1" applyBorder="1" applyAlignment="1">
      <alignment horizontal="center" vertical="center" textRotation="90" wrapText="1" shrinkToFit="1"/>
    </xf>
    <xf numFmtId="0" fontId="34" fillId="3" borderId="113" xfId="0" applyFont="1" applyFill="1" applyBorder="1" applyAlignment="1">
      <alignment horizontal="center" vertical="center" textRotation="90" wrapText="1" shrinkToFit="1"/>
    </xf>
    <xf numFmtId="0" fontId="34" fillId="3" borderId="114" xfId="0" applyFont="1" applyFill="1" applyBorder="1" applyAlignment="1">
      <alignment horizontal="center" vertical="center" textRotation="90" wrapText="1" shrinkToFit="1"/>
    </xf>
    <xf numFmtId="0" fontId="34" fillId="3" borderId="115" xfId="0" applyFont="1" applyFill="1" applyBorder="1" applyAlignment="1">
      <alignment horizontal="center" vertical="center" textRotation="90" wrapText="1" shrinkToFit="1"/>
    </xf>
    <xf numFmtId="0" fontId="34" fillId="3" borderId="0" xfId="0" applyFont="1" applyFill="1" applyBorder="1" applyAlignment="1">
      <alignment horizontal="center" vertical="center" textRotation="90" wrapText="1" shrinkToFit="1"/>
    </xf>
    <xf numFmtId="0" fontId="34" fillId="3" borderId="116" xfId="0" applyFont="1" applyFill="1" applyBorder="1" applyAlignment="1">
      <alignment horizontal="center" vertical="center" textRotation="90" wrapText="1" shrinkToFit="1"/>
    </xf>
    <xf numFmtId="0" fontId="34" fillId="3" borderId="117" xfId="0" applyFont="1" applyFill="1" applyBorder="1" applyAlignment="1">
      <alignment horizontal="center" vertical="center" textRotation="90" wrapText="1" shrinkToFit="1"/>
    </xf>
    <xf numFmtId="0" fontId="34" fillId="3" borderId="118" xfId="0" applyFont="1" applyFill="1" applyBorder="1" applyAlignment="1">
      <alignment horizontal="center" vertical="center" textRotation="90" wrapText="1" shrinkToFit="1"/>
    </xf>
    <xf numFmtId="0" fontId="34" fillId="3" borderId="119" xfId="0" applyFont="1" applyFill="1" applyBorder="1" applyAlignment="1">
      <alignment horizontal="center" vertical="center" textRotation="90" wrapText="1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1676400</xdr:colOff>
      <xdr:row>35</xdr:row>
      <xdr:rowOff>85725</xdr:rowOff>
    </xdr:from>
    <xdr:to>
      <xdr:col>9</xdr:col>
      <xdr:colOff>361950</xdr:colOff>
      <xdr:row>38</xdr:row>
      <xdr:rowOff>9525</xdr:rowOff>
    </xdr:to>
    <xdr:sp>
      <xdr:nvSpPr>
        <xdr:cNvPr id="1" name="TextBox 39"/>
        <xdr:cNvSpPr txBox="1">
          <a:spLocks noChangeArrowheads="1"/>
        </xdr:cNvSpPr>
      </xdr:nvSpPr>
      <xdr:spPr>
        <a:xfrm>
          <a:off x="3019425" y="6791325"/>
          <a:ext cx="8296275" cy="3905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/>
            <a:t>site:      http://www.aristotelio.gr
e-mail: info@aristotelio.gr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1000125</xdr:colOff>
      <xdr:row>35</xdr:row>
      <xdr:rowOff>76200</xdr:rowOff>
    </xdr:from>
    <xdr:to>
      <xdr:col>7</xdr:col>
      <xdr:colOff>581025</xdr:colOff>
      <xdr:row>38</xdr:row>
      <xdr:rowOff>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4219575" y="6867525"/>
          <a:ext cx="5895975" cy="3905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/>
            <a:t>site:      http://www.aristotelio.gr
e-mail: info@aristotelio.gr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>
    <tabColor indexed="16"/>
  </sheetPr>
  <dimension ref="B1:K36"/>
  <sheetViews>
    <sheetView showGridLines="0" showRowColHeaders="0" showZeros="0" zoomScale="75" zoomScaleNormal="75" workbookViewId="0" topLeftCell="B1">
      <selection activeCell="O10" sqref="O10"/>
    </sheetView>
  </sheetViews>
  <sheetFormatPr defaultColWidth="9.140625" defaultRowHeight="12.75"/>
  <cols>
    <col min="1" max="2" width="4.8515625" style="38" customWidth="1"/>
    <col min="3" max="3" width="4.28125" style="38" customWidth="1"/>
    <col min="4" max="4" width="6.140625" style="38" customWidth="1"/>
    <col min="5" max="5" width="35.00390625" style="38" customWidth="1"/>
    <col min="6" max="6" width="38.421875" style="38" customWidth="1"/>
    <col min="7" max="7" width="34.8515625" style="38" customWidth="1"/>
    <col min="8" max="8" width="16.7109375" style="38" customWidth="1"/>
    <col min="9" max="9" width="19.140625" style="38" customWidth="1"/>
    <col min="10" max="10" width="18.140625" style="38" customWidth="1"/>
    <col min="11" max="11" width="17.28125" style="38" customWidth="1"/>
    <col min="12" max="16384" width="9.140625" style="38" customWidth="1"/>
  </cols>
  <sheetData>
    <row r="1" spans="4:11" ht="26.25">
      <c r="D1" s="135" t="s">
        <v>23</v>
      </c>
      <c r="E1" s="135"/>
      <c r="F1" s="135"/>
      <c r="G1" s="135"/>
      <c r="H1" s="135"/>
      <c r="I1" s="135"/>
      <c r="J1" s="135"/>
      <c r="K1" s="135"/>
    </row>
    <row r="2" ht="15"/>
    <row r="3" spans="4:11" ht="17.25" customHeight="1">
      <c r="D3" s="41"/>
      <c r="E3" s="136" t="s">
        <v>37</v>
      </c>
      <c r="F3" s="40"/>
      <c r="G3" s="41"/>
      <c r="H3" s="41"/>
      <c r="I3" s="41"/>
      <c r="J3" s="41"/>
      <c r="K3" s="41"/>
    </row>
    <row r="4" spans="4:11" ht="15.75">
      <c r="D4" s="42"/>
      <c r="E4" s="137" t="s">
        <v>38</v>
      </c>
      <c r="F4" s="43"/>
      <c r="G4" s="42"/>
      <c r="H4" s="42"/>
      <c r="I4" s="42"/>
      <c r="J4" s="42"/>
      <c r="K4" s="42"/>
    </row>
    <row r="5" spans="4:11" ht="6" customHeight="1" thickBot="1">
      <c r="D5" s="42"/>
      <c r="E5" s="138"/>
      <c r="F5" s="42"/>
      <c r="G5" s="42"/>
      <c r="H5" s="42"/>
      <c r="I5" s="42"/>
      <c r="J5" s="42"/>
      <c r="K5" s="42"/>
    </row>
    <row r="6" spans="4:10" s="48" customFormat="1" ht="16.5" customHeight="1" thickBot="1" thickTop="1">
      <c r="D6" s="45"/>
      <c r="E6" s="139" t="s">
        <v>0</v>
      </c>
      <c r="F6" s="47">
        <v>3</v>
      </c>
      <c r="G6" s="45"/>
      <c r="H6" s="45"/>
      <c r="I6" s="95" t="s">
        <v>41</v>
      </c>
      <c r="J6" s="95"/>
    </row>
    <row r="7" spans="4:11" ht="5.25" customHeight="1" thickBot="1" thickTop="1">
      <c r="D7" s="42"/>
      <c r="E7" s="49">
        <f>IF(F6&lt;1,"ΛΑΘΟΣ ΕΠΙΛΟΓΗ ΑΡΙΘΜΟΥ από 1-4",IF(F6&gt;4,"ΛΑΘΟΣ ΕΠΙΛΟΓΗ ΑΡΙΘΜΟΥ από 1-4",IF(F8&lt;1,"ΛΑΘΟΣ ΕΠΙΛΟΓΗ ΑΡΙΘΜΟΥ από 1-4",IF(F8&gt;4,"ΛΑΘΟΣ ΕΠΙΛΟΓΗ ΑΡΙΘΜΟΥ από 1-4",))))</f>
        <v>0</v>
      </c>
      <c r="I7" s="95"/>
      <c r="J7" s="95"/>
      <c r="K7" s="42"/>
    </row>
    <row r="8" spans="4:11" s="48" customFormat="1" ht="17.25" customHeight="1" thickBot="1" thickTop="1">
      <c r="D8" s="45"/>
      <c r="E8" s="139" t="s">
        <v>1</v>
      </c>
      <c r="F8" s="47">
        <v>2</v>
      </c>
      <c r="G8" s="45"/>
      <c r="H8" s="45"/>
      <c r="I8" s="95"/>
      <c r="J8" s="95"/>
      <c r="K8" s="45"/>
    </row>
    <row r="9" spans="4:11" s="48" customFormat="1" ht="14.25" customHeight="1" thickTop="1">
      <c r="D9" s="45"/>
      <c r="E9" s="50"/>
      <c r="F9" s="51"/>
      <c r="G9" s="45"/>
      <c r="H9" s="45"/>
      <c r="I9" s="95"/>
      <c r="J9" s="95"/>
      <c r="K9" s="45"/>
    </row>
    <row r="10" spans="5:11" s="48" customFormat="1" ht="18">
      <c r="E10" s="140" t="str">
        <f>IF(F6=1,"ΘΕΩΡΗΤΙΚΗ ΚΑΤΕΥΘΥΝΣΗ",IF(F6=2,"ΘΕΤΙΚΗ ΚΑΤΕΥΘΥΝΣΗ",IF(F6=3,"ΤΕΧΝΟΛΟΓΙΚΗ ΚΑΤΕΥΘΥΝΣΗ (Κύκλος Πληροφορικής)","ΤΕΧΝΟΛΟΓΙΚΗ ΚΑΤΕΥΘΥΝΣΗ (Κύκλος Τεχνολογίας)")))</f>
        <v>ΤΕΧΝΟΛΟΓΙΚΗ ΚΑΤΕΥΘΥΝΣΗ (Κύκλος Πληροφορικής)</v>
      </c>
      <c r="F10" s="140"/>
      <c r="G10" s="140"/>
      <c r="H10" s="140"/>
      <c r="I10" s="45"/>
      <c r="J10" s="45"/>
      <c r="K10" s="45"/>
    </row>
    <row r="11" spans="4:11" ht="15">
      <c r="D11" s="42"/>
      <c r="E11" s="42"/>
      <c r="F11" s="56"/>
      <c r="G11" s="42"/>
      <c r="H11" s="42"/>
      <c r="I11" s="42"/>
      <c r="J11" s="42"/>
      <c r="K11" s="42"/>
    </row>
    <row r="12" spans="4:11" s="63" customFormat="1" ht="15">
      <c r="D12" s="60" t="s">
        <v>2</v>
      </c>
      <c r="E12" s="61" t="s">
        <v>3</v>
      </c>
      <c r="F12" s="141" t="s">
        <v>16</v>
      </c>
      <c r="G12" s="141" t="s">
        <v>17</v>
      </c>
      <c r="H12" s="142" t="s">
        <v>19</v>
      </c>
      <c r="I12" s="143" t="s">
        <v>4</v>
      </c>
      <c r="J12" s="143" t="s">
        <v>18</v>
      </c>
      <c r="K12" s="144" t="s">
        <v>5</v>
      </c>
    </row>
    <row r="13" spans="4:11" ht="16.5" thickBot="1">
      <c r="D13" s="64"/>
      <c r="E13" s="161" t="s">
        <v>15</v>
      </c>
      <c r="F13" s="162"/>
      <c r="G13" s="163"/>
      <c r="H13" s="145"/>
      <c r="I13" s="145"/>
      <c r="J13" s="145"/>
      <c r="K13" s="146"/>
    </row>
    <row r="14" spans="4:11" ht="15.75">
      <c r="D14" s="156">
        <f>+D20+1</f>
        <v>5</v>
      </c>
      <c r="E14" s="66" t="s">
        <v>6</v>
      </c>
      <c r="F14" s="147">
        <v>20</v>
      </c>
      <c r="G14" s="147">
        <v>20</v>
      </c>
      <c r="H14" s="148">
        <f>ROUND((F14+G14)/2,1)</f>
        <v>20</v>
      </c>
      <c r="I14" s="147">
        <v>15</v>
      </c>
      <c r="J14" s="148">
        <f>ROUND(IF(ABS(I14-H14)&lt;=2,H14,IF(I14-H14&gt;=2,I14-2,I14+2)),1)</f>
        <v>17</v>
      </c>
      <c r="K14" s="67">
        <f>ROUND((J14*0.3+I14*0.7),1)</f>
        <v>15.6</v>
      </c>
    </row>
    <row r="15" spans="4:11" ht="15.75">
      <c r="D15" s="156">
        <f>+D14+1</f>
        <v>6</v>
      </c>
      <c r="E15" s="66" t="str">
        <f>IF(F8=1,"Ιστορία",IF(F8=2,"Μαθηματικά &amp; Στ. Στατιστ.",IF(F8=3,"Βιολογία","Φυσική")))</f>
        <v>Μαθηματικά &amp; Στ. Στατιστ.</v>
      </c>
      <c r="F15" s="147">
        <v>20</v>
      </c>
      <c r="G15" s="147">
        <v>20</v>
      </c>
      <c r="H15" s="148">
        <f>ROUND((F15+G15)/2,1)</f>
        <v>20</v>
      </c>
      <c r="I15" s="147">
        <v>19</v>
      </c>
      <c r="J15" s="148">
        <f>ROUND(IF(ABS(I15-H15)&lt;=2,H15,IF(I15-H15&gt;=2,I15-2,I15+2)),1)</f>
        <v>20</v>
      </c>
      <c r="K15" s="67">
        <f>ROUND((J15*0.3+I15*0.7),1)</f>
        <v>19.3</v>
      </c>
    </row>
    <row r="16" spans="4:11" ht="15.75">
      <c r="D16" s="157"/>
      <c r="E16" s="164" t="str">
        <f>IF(F6=1,"Μαθήματα Θεωρητικής Κατεύθυνσης",IF(F6=2,"Μαθήματα Θετικής Κατεύθυνσης",IF(F6=3,"Μαθήματα Τεχνολογικής Κατεύθυνσης (Κύκλος Πληροφορικής)","Μαθήματα Τεχνολογικής Κατεύθυνσης (Κύκλος Τεχνολογίας)")))</f>
        <v>Μαθήματα Τεχνολογικής Κατεύθυνσης (Κύκλος Πληροφορικής)</v>
      </c>
      <c r="F16" s="165"/>
      <c r="G16" s="165"/>
      <c r="H16" s="168"/>
      <c r="I16" s="168"/>
      <c r="J16" s="168"/>
      <c r="K16" s="169"/>
    </row>
    <row r="17" spans="4:11" ht="15.75">
      <c r="D17" s="158">
        <v>1</v>
      </c>
      <c r="E17" s="149" t="str">
        <f>IF(F6=1,"Αρχαία Ελληνικά","Μαθηματικά")</f>
        <v>Μαθηματικά</v>
      </c>
      <c r="F17" s="150">
        <v>20</v>
      </c>
      <c r="G17" s="150">
        <v>20</v>
      </c>
      <c r="H17" s="151">
        <f>ROUND((F17+G17)/2,1)</f>
        <v>20</v>
      </c>
      <c r="I17" s="150">
        <v>17</v>
      </c>
      <c r="J17" s="152">
        <f>ROUND(IF(ABS(I17-H17)&lt;=2,H17,IF(I17-H17&gt;=2,I17-2,I17+2)),1)</f>
        <v>19</v>
      </c>
      <c r="K17" s="77">
        <f>ROUND((J17*0.3+I17*0.7),1)</f>
        <v>17.6</v>
      </c>
    </row>
    <row r="18" spans="4:11" ht="15.75">
      <c r="D18" s="156">
        <f>+D17+1</f>
        <v>2</v>
      </c>
      <c r="E18" s="66" t="str">
        <f>IF(F6=1,"Ιστορία","Φυσική")</f>
        <v>Φυσική</v>
      </c>
      <c r="F18" s="147">
        <v>20</v>
      </c>
      <c r="G18" s="147">
        <v>20</v>
      </c>
      <c r="H18" s="148">
        <f>ROUND((F18+G18)/2,1)</f>
        <v>20</v>
      </c>
      <c r="I18" s="147">
        <v>18</v>
      </c>
      <c r="J18" s="153">
        <f>ROUND(IF(ABS(I18-H18)&lt;=2,H18,IF(I18-H18&gt;=2,I18-2,I18+2)),1)</f>
        <v>20</v>
      </c>
      <c r="K18" s="67">
        <f>ROUND((J18*0.3+I18*0.7),1)</f>
        <v>18.6</v>
      </c>
    </row>
    <row r="19" spans="4:11" ht="15.75">
      <c r="D19" s="156">
        <f>+D18+1</f>
        <v>3</v>
      </c>
      <c r="E19" s="66" t="str">
        <f>IF(F6=1,"Νεολ. Λογοτεχνία",IF(F6=2,"Χημεία",IF(F6=3,"Ανάπτυξη Εφαρμογών","Χημεία-Βιοχημεία")))</f>
        <v>Ανάπτυξη Εφαρμογών</v>
      </c>
      <c r="F19" s="147">
        <v>20</v>
      </c>
      <c r="G19" s="147">
        <v>20</v>
      </c>
      <c r="H19" s="148">
        <f>ROUND((F19+G19)/2,1)</f>
        <v>20</v>
      </c>
      <c r="I19" s="147">
        <v>19</v>
      </c>
      <c r="J19" s="153">
        <f>ROUND(IF(ABS(I19-H19)&lt;=2,H19,IF(I19-H19&gt;=2,I19-2,I19+2)),1)</f>
        <v>20</v>
      </c>
      <c r="K19" s="67">
        <f>ROUND((J19*0.3+I19*0.7),1)</f>
        <v>19.3</v>
      </c>
    </row>
    <row r="20" spans="4:11" ht="15.75">
      <c r="D20" s="156">
        <f>+D19+1</f>
        <v>4</v>
      </c>
      <c r="E20" s="66" t="str">
        <f>IF(F6=1,"Λατινικά",IF(F6=2,"Βιολογία",IF(F6=3,"Διοίκηση Επιχειρήσεων","Ηλεκτρολογία")))</f>
        <v>Διοίκηση Επιχειρήσεων</v>
      </c>
      <c r="F20" s="147">
        <v>20</v>
      </c>
      <c r="G20" s="147">
        <v>20</v>
      </c>
      <c r="H20" s="148">
        <f>ROUND((F20+G20)/2,1)</f>
        <v>20</v>
      </c>
      <c r="I20" s="147">
        <v>19</v>
      </c>
      <c r="J20" s="153">
        <f>ROUND(IF(ABS(I20-H20)&lt;=2,H20,IF(I20-H20&gt;=2,I20-2,I20+2)),1)</f>
        <v>20</v>
      </c>
      <c r="K20" s="67">
        <f>ROUND((J20*0.3+I20*0.7),1)</f>
        <v>19.3</v>
      </c>
    </row>
    <row r="21" spans="4:11" ht="15.75">
      <c r="D21" s="159"/>
      <c r="E21" s="166" t="s">
        <v>20</v>
      </c>
      <c r="F21" s="167"/>
      <c r="G21" s="167"/>
      <c r="H21" s="170"/>
      <c r="I21" s="170"/>
      <c r="J21" s="170"/>
      <c r="K21" s="171"/>
    </row>
    <row r="22" spans="4:11" ht="15.75">
      <c r="D22" s="160">
        <f>+D15+1</f>
        <v>7</v>
      </c>
      <c r="E22" s="83" t="s">
        <v>7</v>
      </c>
      <c r="F22" s="154">
        <v>0</v>
      </c>
      <c r="G22" s="154">
        <v>0</v>
      </c>
      <c r="H22" s="148">
        <f>IF((F22+G22)=0,0,ROUND((F22+G22)/2,1))</f>
        <v>0</v>
      </c>
      <c r="I22" s="154"/>
      <c r="J22" s="148">
        <f>IF(H22=0,0,ROUND(IF(ABS(I22-H22)&lt;=2,H22,IF(I22-H22&gt;=2,I22-2,I22+2)),1))</f>
        <v>0</v>
      </c>
      <c r="K22" s="84">
        <f>IF(ISNUMBER(J22),ROUND((J22*0.3+I22*0.7),1),0)</f>
        <v>0</v>
      </c>
    </row>
    <row r="23" spans="4:11" ht="3.75" customHeight="1" thickBot="1">
      <c r="D23" s="85"/>
      <c r="E23" s="42"/>
      <c r="F23" s="42"/>
      <c r="G23" s="42"/>
      <c r="H23" s="42"/>
      <c r="I23" s="42"/>
      <c r="J23" s="42"/>
      <c r="K23" s="42"/>
    </row>
    <row r="24" spans="4:11" ht="17.25" thickBot="1">
      <c r="D24" s="85"/>
      <c r="E24" s="155" t="s">
        <v>8</v>
      </c>
      <c r="F24" s="155"/>
      <c r="G24" s="112">
        <f>ROUND(IF(K22=0,AVERAGE(K14:K21),AVERAGE(K14:K22)),2)</f>
        <v>18.28</v>
      </c>
      <c r="I24" s="116" t="s">
        <v>22</v>
      </c>
      <c r="J24" s="116"/>
      <c r="K24" s="86">
        <f>+G24*8</f>
        <v>146.24</v>
      </c>
    </row>
    <row r="25" spans="4:11" ht="3.75" customHeight="1" thickBot="1">
      <c r="D25" s="42"/>
      <c r="E25" s="42"/>
      <c r="F25" s="42"/>
      <c r="G25" s="42"/>
      <c r="H25" s="42"/>
      <c r="I25" s="42"/>
      <c r="J25" s="42"/>
      <c r="K25" s="42"/>
    </row>
    <row r="26" spans="4:11" s="48" customFormat="1" ht="16.5" customHeight="1" thickBot="1" thickTop="1">
      <c r="D26" s="45"/>
      <c r="E26" s="132" t="s">
        <v>9</v>
      </c>
      <c r="F26" s="133"/>
      <c r="G26" s="134"/>
      <c r="H26" s="45"/>
      <c r="I26" s="172" t="s">
        <v>14</v>
      </c>
      <c r="J26" s="173"/>
      <c r="K26" s="174"/>
    </row>
    <row r="27" spans="2:11" ht="15" customHeight="1">
      <c r="B27" s="188" t="str">
        <f>IF(Βοηθ!C10=" ",IF(Βοηθ!C18=" ",IF(Βοηθ!C28=" ",IF(Βοηθ!C38=" "," ",Βοηθ!B37),Βοηθ!B27),Βοηθ!B17),Βοηθ!B9)</f>
        <v>Τεχνολογική Κατεύθυνση (Κύκλος Πληροφορικής)</v>
      </c>
      <c r="C27" s="189"/>
      <c r="D27" s="190"/>
      <c r="E27" s="128"/>
      <c r="F27" s="87" t="str">
        <f>IF(Βοηθ!D9=" ",IF(Βοηθ!D17=" ",IF(Βοηθ!D27=" ",IF(Βοηθ!D37=" "," ",Βοηθ!D37),Βοηθ!D27),Βοηθ!D17),Βοηθ!D9)</f>
        <v>Μαθηματικά x 1,3</v>
      </c>
      <c r="G27" s="88" t="str">
        <f>IF(Βοηθ!E9=" ",IF(Βοηθ!E17=" ",IF(Βοηθ!E27=" ",IF(Βοηθ!E37=" "," ",Βοηθ!E37),Βοηθ!E27),Βοηθ!E17),Βοηθ!E9)</f>
        <v>Φυσική x 0,7</v>
      </c>
      <c r="H27" s="42"/>
      <c r="I27" s="120"/>
      <c r="J27" s="121"/>
      <c r="K27" s="175"/>
    </row>
    <row r="28" spans="2:11" ht="16.5">
      <c r="B28" s="191"/>
      <c r="C28" s="192"/>
      <c r="D28" s="193"/>
      <c r="E28" s="129" t="str">
        <f>IF(Βοηθ!C10=" ",IF(Βοηθ!C18=" ",IF(Βοηθ!C28=" ",IF(Βοηθ!C38=" "," ",Βοηθ!C38),Βοηθ!C28),Βοηθ!C18),Βοηθ!C10)</f>
        <v>2ο, 4ο Επιστημονικό Πεδίο</v>
      </c>
      <c r="F28" s="89">
        <f>IF(Βοηθ!D10=0,IF(Βοηθ!D18=0,IF(Βοηθ!D28=0,IF(Βοηθ!D38=0,0,Βοηθ!D38),Βοηθ!D28),Βοηθ!D18),Βοηθ!D10)</f>
        <v>22.880000000000003</v>
      </c>
      <c r="G28" s="90">
        <f>IF(Βοηθ!E10=0,IF(Βοηθ!E18=0,IF(Βοηθ!E28=0,IF(Βοηθ!E38=0,0,Βοηθ!E38),Βοηθ!E28),Βοηθ!E18),Βοηθ!E10)</f>
        <v>13.02</v>
      </c>
      <c r="H28" s="42"/>
      <c r="I28" s="122" t="str">
        <f>+E28</f>
        <v>2ο, 4ο Επιστημονικό Πεδίο</v>
      </c>
      <c r="J28" s="123"/>
      <c r="K28" s="176">
        <f>+IF(E28=" ",0,(G24*8+F28+G28)*100)</f>
        <v>18214</v>
      </c>
    </row>
    <row r="29" spans="2:11" ht="16.5">
      <c r="B29" s="191"/>
      <c r="C29" s="192"/>
      <c r="D29" s="193"/>
      <c r="E29" s="130"/>
      <c r="F29" s="89" t="str">
        <f>IF(Βοηθ!D11=" ",IF(Βοηθ!D19=" ",IF(Βοηθ!D29=" ",IF(Βοηθ!D39=" "," ",Βοηθ!D39),Βοηθ!D29),Βοηθ!D19),Βοηθ!D11)</f>
        <v> </v>
      </c>
      <c r="G29" s="90" t="str">
        <f>IF(Βοηθ!E11=" ",IF(Βοηθ!E19=" ",IF(Βοηθ!E29=" ",IF(Βοηθ!E39=" "," ",Βοηθ!E39),Βοηθ!E29),Βοηθ!E19),Βοηθ!E11)</f>
        <v> </v>
      </c>
      <c r="H29" s="42"/>
      <c r="I29" s="124"/>
      <c r="J29" s="125"/>
      <c r="K29" s="177"/>
    </row>
    <row r="30" spans="2:11" ht="16.5">
      <c r="B30" s="191"/>
      <c r="C30" s="192"/>
      <c r="D30" s="193"/>
      <c r="E30" s="129" t="str">
        <f>IF(Βοηθ!C12=" ",IF(Βοηθ!C20=" ",IF(Βοηθ!C30=" ",IF(Βοηθ!C40=" "," ",Βοηθ!C40),Βοηθ!C30),Βοηθ!C20),Βοηθ!C12)</f>
        <v> </v>
      </c>
      <c r="F30" s="89">
        <f>IF(Βοηθ!D12=0,IF(Βοηθ!D20=0,IF(Βοηθ!D30=0,IF(Βοηθ!D40=0,0,Βοηθ!D40),Βοηθ!D30),Βοηθ!D20),Βοηθ!D12)</f>
        <v>0</v>
      </c>
      <c r="G30" s="90">
        <f>IF(Βοηθ!E12=0,IF(Βοηθ!E20=0,IF(Βοηθ!E30=0,IF(Βοηθ!E40=0,0,Βοηθ!E40),Βοηθ!E30),Βοηθ!E20),Βοηθ!E12)</f>
        <v>0</v>
      </c>
      <c r="H30" s="42"/>
      <c r="I30" s="122" t="str">
        <f>+E30</f>
        <v> </v>
      </c>
      <c r="J30" s="123"/>
      <c r="K30" s="176">
        <f>+IF(E30=" ",0,(G24*8+F30+G30)*100)</f>
        <v>0</v>
      </c>
    </row>
    <row r="31" spans="2:11" ht="16.5">
      <c r="B31" s="191"/>
      <c r="C31" s="192"/>
      <c r="D31" s="193"/>
      <c r="E31" s="130"/>
      <c r="F31" s="89" t="str">
        <f>IF(Βοηθ!D13=" ",IF(Βοηθ!D21=" ",IF(Βοηθ!D31=" ",IF(Βοηθ!D41=" "," ",Βοηθ!D41),Βοηθ!D31),Βοηθ!D21),Βοηθ!D13)</f>
        <v> </v>
      </c>
      <c r="G31" s="90" t="str">
        <f>IF(Βοηθ!E13=" ",IF(Βοηθ!E21=" ",IF(Βοηθ!E31=" ",IF(Βοηθ!E41=" "," ",Βοηθ!E41),Βοηθ!E31),Βοηθ!E21),Βοηθ!E13)</f>
        <v> </v>
      </c>
      <c r="H31" s="42"/>
      <c r="I31" s="124"/>
      <c r="J31" s="125"/>
      <c r="K31" s="177"/>
    </row>
    <row r="32" spans="2:11" ht="16.5">
      <c r="B32" s="191"/>
      <c r="C32" s="192"/>
      <c r="D32" s="193"/>
      <c r="E32" s="129" t="str">
        <f>IF(Βοηθ!C14=" ",IF(Βοηθ!C22=" ",IF(Βοηθ!C32=" ",IF(Βοηθ!C42=" "," ",Βοηθ!C42),Βοηθ!C32),Βοηθ!C22),Βοηθ!C14)</f>
        <v> </v>
      </c>
      <c r="F32" s="89">
        <f>IF(Βοηθ!D14=0,IF(Βοηθ!D22=0,IF(Βοηθ!D32=0,IF(Βοηθ!D42=0,0,Βοηθ!D42),Βοηθ!D32),Βοηθ!D22),Βοηθ!D14)</f>
        <v>0</v>
      </c>
      <c r="G32" s="90">
        <f>IF(Βοηθ!E14=0,IF(Βοηθ!E22=0,IF(Βοηθ!E32=0,IF(Βοηθ!E42=0,0,Βοηθ!E42),Βοηθ!E32),Βοηθ!E22),Βοηθ!E14)</f>
        <v>0</v>
      </c>
      <c r="H32" s="42"/>
      <c r="I32" s="122" t="str">
        <f>+E32</f>
        <v> </v>
      </c>
      <c r="J32" s="123"/>
      <c r="K32" s="176">
        <f>+IF(E32=" ",0,(G24*8+F32+G32)*100)</f>
        <v>0</v>
      </c>
    </row>
    <row r="33" spans="2:11" ht="16.5">
      <c r="B33" s="191"/>
      <c r="C33" s="192"/>
      <c r="D33" s="193"/>
      <c r="E33" s="129"/>
      <c r="F33" s="89" t="str">
        <f>IF(Βοηθ!D23=" ",IF(Βοηθ!D33=" ",IF(Βοηθ!D43=" "," ",Βοηθ!D43),Βοηθ!D33),Βοηθ!D23)</f>
        <v> </v>
      </c>
      <c r="G33" s="90" t="str">
        <f>IF(Βοηθ!E23=" ",IF(Βοηθ!E33=" ",IF(Βοηθ!E43=" "," ",Βοηθ!E43),Βοηθ!E33),Βοηθ!E23)</f>
        <v> </v>
      </c>
      <c r="H33" s="42"/>
      <c r="I33" s="124"/>
      <c r="J33" s="125"/>
      <c r="K33" s="177"/>
    </row>
    <row r="34" spans="2:11" ht="17.25" thickBot="1">
      <c r="B34" s="194"/>
      <c r="C34" s="195"/>
      <c r="D34" s="196"/>
      <c r="E34" s="131" t="str">
        <f>IF(Βοηθ!C24=" ",IF(Βοηθ!C34=" ",IF(Βοηθ!C44=" "," ",Βοηθ!C44),Βοηθ!C34),Βοηθ!C24)</f>
        <v> </v>
      </c>
      <c r="F34" s="91">
        <f>IF(Βοηθ!D24=0,IF(Βοηθ!D34=0,IF(Βοηθ!D44=0,0,Βοηθ!D44),Βοηθ!D34),Βοηθ!D24)</f>
        <v>0</v>
      </c>
      <c r="G34" s="92">
        <f>IF(Βοηθ!E24=0,IF(Βοηθ!E34=0,IF(Βοηθ!E44=0,0,Βοηθ!E44),Βοηθ!E34),Βοηθ!E24)</f>
        <v>0</v>
      </c>
      <c r="H34" s="42"/>
      <c r="I34" s="126" t="str">
        <f>+E34</f>
        <v> </v>
      </c>
      <c r="J34" s="127"/>
      <c r="K34" s="178">
        <f>+IF(E34=" ",0,(G24*8+F34+G34)*100)</f>
        <v>0</v>
      </c>
    </row>
    <row r="35" spans="4:11" ht="15.75" customHeight="1" thickTop="1">
      <c r="D35" s="42"/>
      <c r="E35" s="42"/>
      <c r="F35" s="42"/>
      <c r="G35" s="42"/>
      <c r="H35" s="42"/>
      <c r="I35" s="42"/>
      <c r="J35" s="42"/>
      <c r="K35" s="42"/>
    </row>
    <row r="36" spans="4:11" ht="10.5" customHeight="1">
      <c r="D36" s="93"/>
      <c r="E36" s="42"/>
      <c r="F36" s="42"/>
      <c r="G36" s="42"/>
      <c r="H36" s="42"/>
      <c r="I36" s="42"/>
      <c r="J36" s="42"/>
      <c r="K36" s="42"/>
    </row>
    <row r="37" ht="13.5" customHeight="1"/>
  </sheetData>
  <sheetProtection password="D745" sheet="1" objects="1" scenarios="1"/>
  <protectedRanges>
    <protectedRange sqref="F6 F8 F14:G15 F17:G20 I14:I15 I17:I20 I22 F22:G22 F4 F3" name="Περιοχή1"/>
  </protectedRanges>
  <mergeCells count="22">
    <mergeCell ref="E16:G16"/>
    <mergeCell ref="E21:G21"/>
    <mergeCell ref="H16:K16"/>
    <mergeCell ref="H21:K21"/>
    <mergeCell ref="E26:G26"/>
    <mergeCell ref="E13:G13"/>
    <mergeCell ref="H12:H13"/>
    <mergeCell ref="I12:I13"/>
    <mergeCell ref="I26:K26"/>
    <mergeCell ref="K12:K13"/>
    <mergeCell ref="E24:F24"/>
    <mergeCell ref="I24:J24"/>
    <mergeCell ref="I28:J28"/>
    <mergeCell ref="I30:J30"/>
    <mergeCell ref="I32:J32"/>
    <mergeCell ref="I34:J34"/>
    <mergeCell ref="B27:D34"/>
    <mergeCell ref="D1:K1"/>
    <mergeCell ref="I6:J9"/>
    <mergeCell ref="D12:D13"/>
    <mergeCell ref="E10:H10"/>
    <mergeCell ref="J12:J13"/>
  </mergeCells>
  <printOptions/>
  <pageMargins left="0.4" right="0.18" top="0.5" bottom="0.49" header="0.5" footer="0.5"/>
  <pageSetup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/>
  <dimension ref="B9:E44"/>
  <sheetViews>
    <sheetView showZeros="0" workbookViewId="0" topLeftCell="A22">
      <selection activeCell="C45" sqref="C45"/>
    </sheetView>
  </sheetViews>
  <sheetFormatPr defaultColWidth="9.140625" defaultRowHeight="12.75"/>
  <cols>
    <col min="2" max="2" width="13.7109375" style="0" customWidth="1"/>
    <col min="3" max="3" width="26.421875" style="0" customWidth="1"/>
    <col min="4" max="5" width="21.7109375" style="0" customWidth="1"/>
  </cols>
  <sheetData>
    <row r="8" ht="13.5" thickBot="1"/>
    <row r="9" spans="2:5" ht="13.5" thickTop="1">
      <c r="B9" s="36" t="s">
        <v>10</v>
      </c>
      <c r="C9" s="2"/>
      <c r="D9" s="13" t="str">
        <f>IF('Με Προφορικό &amp; Γραπτό Βαθμό'!F6=1,"Αρχαία x 1,3"," ")</f>
        <v> </v>
      </c>
      <c r="E9" s="18" t="str">
        <f>IF('Με Προφορικό &amp; Γραπτό Βαθμό'!F6=1,"Ιστορία x 0,7"," ")</f>
        <v> </v>
      </c>
    </row>
    <row r="10" spans="2:5" ht="13.5" thickBot="1">
      <c r="B10" s="36"/>
      <c r="C10" s="4" t="str">
        <f>IF('Με Προφορικό &amp; Γραπτό Βαθμό'!F6=1,"1ο Επιστημονικό Πεδίο"," ")</f>
        <v> </v>
      </c>
      <c r="D10" s="14">
        <f>+IF(D9=" ",0,'Με Προφορικό &amp; Γραπτό Βαθμό'!K17*1.3)</f>
        <v>0</v>
      </c>
      <c r="E10" s="19">
        <f>+IF(E9=" ",0,'Με Προφορικό &amp; Γραπτό Βαθμό'!K18*0.7)</f>
        <v>0</v>
      </c>
    </row>
    <row r="11" spans="2:5" ht="12.75">
      <c r="B11" s="36"/>
      <c r="C11" s="9"/>
      <c r="D11" s="15" t="str">
        <f>IF(C12=" "," ",IF('Με Προφορικό &amp; Γραπτό Βαθμό'!F8=1," ",IF('Με Προφορικό &amp; Γραπτό Βαθμό'!F8=2,"Μαθηματ &amp; Στ. Στ x 0,9",IF('Με Προφορικό &amp; Γραπτό Βαθμό'!F8=3,"Βιολογία x 0,9"," "))))</f>
        <v> </v>
      </c>
      <c r="E11" s="20" t="str">
        <f>IF(C12=" "," ",IF('Με Προφορικό &amp; Γραπτό Βαθμό'!F8=1," ",IF('Με Προφορικό &amp; Γραπτό Βαθμό'!F8=2,"Νεοελ Γλώσσα x 0,4",IF('Με Προφορικό &amp; Γραπτό Βαθμό'!F8=3,"Νεοελ Γλώσσα x 0,4"," "))))</f>
        <v> </v>
      </c>
    </row>
    <row r="12" spans="2:5" ht="13.5" thickBot="1">
      <c r="B12" s="36"/>
      <c r="C12" s="11" t="str">
        <f>IF('Με Προφορικό &amp; Γραπτό Βαθμό'!F6&lt;&gt;1," ",IF('Με Προφορικό &amp; Γραπτό Βαθμό'!F8=1," ",IF('Με Προφορικό &amp; Γραπτό Βαθμό'!F8=2,"2ο,4ο Επιστημονικό Πεδίο",IF('Με Προφορικό &amp; Γραπτό Βαθμό'!F8=3,"3ο Επιστημονικό Πεδίο"," "))))</f>
        <v> </v>
      </c>
      <c r="D12" s="21">
        <f>IF(D11=" ",0,'Με Προφορικό &amp; Γραπτό Βαθμό'!K15*0.9)</f>
        <v>0</v>
      </c>
      <c r="E12" s="12">
        <f>IF(E11=" ",0,'Με Προφορικό &amp; Γραπτό Βαθμό'!K14*0.4)</f>
        <v>0</v>
      </c>
    </row>
    <row r="13" spans="2:5" ht="12.75">
      <c r="B13" s="36"/>
      <c r="C13" s="16"/>
      <c r="D13" s="22" t="str">
        <f>IF(C14=" "," ",IF('Με Προφορικό &amp; Γραπτό Βαθμό'!K22=" "," ","Αρχ. Οικονομ. Θ. x 1,3"))</f>
        <v> </v>
      </c>
      <c r="E13" s="6" t="str">
        <f>IF(C14=" "," ",IF('Με Προφορικό &amp; Γραπτό Βαθμό'!K22=" "," ","Μαθηματ &amp; Στ. Στ x 0,7"))</f>
        <v> </v>
      </c>
    </row>
    <row r="14" spans="2:5" ht="13.5" thickBot="1">
      <c r="B14" s="36"/>
      <c r="C14" s="33" t="str">
        <f>IF('Με Προφορικό &amp; Γραπτό Βαθμό'!F6&lt;&gt;1," ",IF('Με Προφορικό &amp; Γραπτό Βαθμό'!F8&lt;&gt;2," ",IF('Με Προφορικό &amp; Γραπτό Βαθμό'!K22=0," ","5ο Επιστημονικό Πεδίο")))</f>
        <v> </v>
      </c>
      <c r="D14" s="34">
        <f>IF(D13=" ",0,'Με Προφορικό &amp; Γραπτό Βαθμό'!K22*1.3)</f>
        <v>0</v>
      </c>
      <c r="E14" s="7">
        <f>IF(E13=" ",0,'Με Προφορικό &amp; Γραπτό Βαθμό'!K15*0.7)</f>
        <v>0</v>
      </c>
    </row>
    <row r="15" ht="13.5" thickTop="1"/>
    <row r="16" ht="13.5" thickBot="1"/>
    <row r="17" spans="2:5" ht="13.5" customHeight="1" thickTop="1">
      <c r="B17" s="36" t="s">
        <v>11</v>
      </c>
      <c r="C17" s="30"/>
      <c r="D17" s="23" t="str">
        <f>IF(C18=" "," ",IF('Με Προφορικό &amp; Γραπτό Βαθμό'!F6=2,"Μαθηματικά x 1,3"," "))</f>
        <v> </v>
      </c>
      <c r="E17" s="3" t="str">
        <f>IF(C18=" "," ",IF('Με Προφορικό &amp; Γραπτό Βαθμό'!F6=2,"Φυσική x 0,7"," "))</f>
        <v> </v>
      </c>
    </row>
    <row r="18" spans="2:5" ht="13.5" thickBot="1">
      <c r="B18" s="36"/>
      <c r="C18" s="31" t="str">
        <f>IF('Με Προφορικό &amp; Γραπτό Βαθμό'!F6=2,"2ο, 4ο Επιστημονικό Πεδίο"," ")</f>
        <v> </v>
      </c>
      <c r="D18" s="24">
        <f>+IF(D17=" ",0,'Με Προφορικό &amp; Γραπτό Βαθμό'!K17*1.3)</f>
        <v>0</v>
      </c>
      <c r="E18" s="5">
        <f>+IF(E17=" ",0,'Με Προφορικό &amp; Γραπτό Βαθμό'!K18*0.7)</f>
        <v>0</v>
      </c>
    </row>
    <row r="19" spans="2:5" ht="12.75">
      <c r="B19" s="36"/>
      <c r="C19" s="32"/>
      <c r="D19" s="25" t="str">
        <f>IF(C20=" "," ",IF('Με Προφορικό &amp; Γραπτό Βαθμό'!F6=2,"Βιολογία x 1,3"," "))</f>
        <v> </v>
      </c>
      <c r="E19" s="8" t="str">
        <f>IF(C20=" "," ",IF('Με Προφορικό &amp; Γραπτό Βαθμό'!F6=2,"Χημεία x 0,7"," "))</f>
        <v> </v>
      </c>
    </row>
    <row r="20" spans="2:5" ht="13.5" thickBot="1">
      <c r="B20" s="36"/>
      <c r="C20" s="31" t="str">
        <f>IF('Με Προφορικό &amp; Γραπτό Βαθμό'!F6&lt;&gt;2," ",IF('Με Προφορικό &amp; Γραπτό Βαθμό'!F6=2,"3ο Επιστημονικό Πεδίο"," "))</f>
        <v> </v>
      </c>
      <c r="D20" s="24">
        <f>+IF(D19=" ",0,'Με Προφορικό &amp; Γραπτό Βαθμό'!K20*1.3)</f>
        <v>0</v>
      </c>
      <c r="E20" s="12">
        <f>+IF(E19=" ",0,'Με Προφορικό &amp; Γραπτό Βαθμό'!K19*0.7)</f>
        <v>0</v>
      </c>
    </row>
    <row r="21" spans="2:5" ht="12.75">
      <c r="B21" s="36"/>
      <c r="C21" s="16"/>
      <c r="D21" s="26" t="str">
        <f>IF(C22=" "," ",IF('Με Προφορικό &amp; Γραπτό Βαθμό'!F8=2," ",IF('Με Προφορικό &amp; Γραπτό Βαθμό'!F8=1,"Νεολ Γλώσσα x 0,9")))</f>
        <v> </v>
      </c>
      <c r="E21" s="6" t="str">
        <f>IF(C22=" "," ",IF('Με Προφορικό &amp; Γραπτό Βαθμό'!F8=2," ",IF('Με Προφορικό &amp; Γραπτό Βαθμό'!F8=1,"Ιστορία x 0,4")))</f>
        <v> </v>
      </c>
    </row>
    <row r="22" spans="2:5" ht="13.5" thickBot="1">
      <c r="B22" s="36"/>
      <c r="C22" s="17" t="str">
        <f>IF('Με Προφορικό &amp; Γραπτό Βαθμό'!F6&lt;&gt;2," ",IF('Με Προφορικό &amp; Γραπτό Βαθμό'!F8=2," ",IF('Με Προφορικό &amp; Γραπτό Βαθμό'!F8=1,"1ο Επιστημονικό Πεδίο",IF('Με Προφορικό &amp; Γραπτό Βαθμό'!F8=3," "," "))))</f>
        <v> </v>
      </c>
      <c r="D22" s="27">
        <f>IF(D21=" ",0,'Με Προφορικό &amp; Γραπτό Βαθμό'!K14*0.9)</f>
        <v>0</v>
      </c>
      <c r="E22" s="5">
        <f>IF(E21=" ",0,'Με Προφορικό &amp; Γραπτό Βαθμό'!K15*0.4)</f>
        <v>0</v>
      </c>
    </row>
    <row r="23" spans="2:5" ht="12.75">
      <c r="B23" s="36"/>
      <c r="C23" s="16"/>
      <c r="D23" s="28" t="str">
        <f>IF(C24=" "," ",IF('Με Προφορικό &amp; Γραπτό Βαθμό'!K22=" "," ","Αρχ. Οικονομ. Θ. x 1,3"))</f>
        <v> </v>
      </c>
      <c r="E23" s="10" t="str">
        <f>IF(C24=" "," ",IF('Με Προφορικό &amp; Γραπτό Βαθμό'!K22=" "," ","Μαθηματ &amp; Στ. Στ x 0,7"))</f>
        <v> </v>
      </c>
    </row>
    <row r="24" spans="2:5" ht="13.5" thickBot="1">
      <c r="B24" s="36"/>
      <c r="C24" s="33" t="str">
        <f>IF('Με Προφορικό &amp; Γραπτό Βαθμό'!F6&lt;&gt;2," ",IF('Με Προφορικό &amp; Γραπτό Βαθμό'!F8&lt;&gt;2," ",IF('Με Προφορικό &amp; Γραπτό Βαθμό'!K22=0," ","5ο Επιστημονικό Πεδίο")))</f>
        <v> </v>
      </c>
      <c r="D24" s="29">
        <f>IF(D23=" ",0,'Με Προφορικό &amp; Γραπτό Βαθμό'!K22*1.3)</f>
        <v>0</v>
      </c>
      <c r="E24" s="7">
        <f>IF(E23=" ",0,'Με Προφορικό &amp; Γραπτό Βαθμό'!K15*0.7)</f>
        <v>0</v>
      </c>
    </row>
    <row r="25" ht="13.5" thickTop="1">
      <c r="B25" s="1"/>
    </row>
    <row r="26" ht="13.5" thickBot="1"/>
    <row r="27" spans="2:5" ht="13.5" thickTop="1">
      <c r="B27" s="37" t="s">
        <v>12</v>
      </c>
      <c r="C27" s="30"/>
      <c r="D27" s="23" t="str">
        <f>IF(C28=" "," ",IF('Με Προφορικό &amp; Γραπτό Βαθμό'!F6=3,"Μαθηματικά x 1,3"," "))</f>
        <v>Μαθηματικά x 1,3</v>
      </c>
      <c r="E27" s="3" t="str">
        <f>IF(C28=" "," ",IF('Με Προφορικό &amp; Γραπτό Βαθμό'!F6=3,"Φυσική x 0,7"," "))</f>
        <v>Φυσική x 0,7</v>
      </c>
    </row>
    <row r="28" spans="2:5" ht="13.5" thickBot="1">
      <c r="B28" s="37"/>
      <c r="C28" s="31" t="str">
        <f>IF('Με Προφορικό &amp; Γραπτό Βαθμό'!F6=3,"2ο, 4ο Επιστημονικό Πεδίο"," ")</f>
        <v>2ο, 4ο Επιστημονικό Πεδίο</v>
      </c>
      <c r="D28" s="24">
        <f>+IF(D27=" ",0,'Με Προφορικό &amp; Γραπτό Βαθμό'!K17*1.3)</f>
        <v>22.880000000000003</v>
      </c>
      <c r="E28" s="5">
        <f>+IF(E27=" ",0,'Με Προφορικό &amp; Γραπτό Βαθμό'!K18*0.7)</f>
        <v>13.02</v>
      </c>
    </row>
    <row r="29" spans="2:5" ht="12.75">
      <c r="B29" s="37"/>
      <c r="C29" s="32"/>
      <c r="D29" s="25" t="str">
        <f>IF(C30=" "," ",IF('Με Προφορικό &amp; Γραπτό Βαθμό'!F8=3,"Βιολογία x 0,9"," "))</f>
        <v> </v>
      </c>
      <c r="E29" s="8" t="str">
        <f>IF(C30=" "," ",IF('Με Προφορικό &amp; Γραπτό Βαθμό'!F8=3,"Νεολ. Γλώσσα x 0,4"," "))</f>
        <v> </v>
      </c>
    </row>
    <row r="30" spans="2:5" ht="13.5" thickBot="1">
      <c r="B30" s="37"/>
      <c r="C30" s="31" t="str">
        <f>IF('Με Προφορικό &amp; Γραπτό Βαθμό'!F6&lt;&gt;3," ",IF('Με Προφορικό &amp; Γραπτό Βαθμό'!F8=3,"3ο Επιστημονικό Πεδίο"," "))</f>
        <v> </v>
      </c>
      <c r="D30" s="24">
        <f>+IF(D29=" ",0,'Με Προφορικό &amp; Γραπτό Βαθμό'!K15*0.9)</f>
        <v>0</v>
      </c>
      <c r="E30" s="12">
        <f>+IF(E29=" ",0,'Με Προφορικό &amp; Γραπτό Βαθμό'!K14*0.4)</f>
        <v>0</v>
      </c>
    </row>
    <row r="31" spans="2:5" ht="12.75">
      <c r="B31" s="37"/>
      <c r="C31" s="16"/>
      <c r="D31" s="26" t="str">
        <f>IF(C32=" "," ",IF('Με Προφορικό &amp; Γραπτό Βαθμό'!F8=1,"Νεολ Γλώσσα x 0,9"," "))</f>
        <v> </v>
      </c>
      <c r="E31" s="6" t="str">
        <f>IF(C32=" "," ",IF('Με Προφορικό &amp; Γραπτό Βαθμό'!F8=1,"Ιστορία x 0,4"," "))</f>
        <v> </v>
      </c>
    </row>
    <row r="32" spans="2:5" ht="13.5" thickBot="1">
      <c r="B32" s="37"/>
      <c r="C32" s="17" t="str">
        <f>IF('Με Προφορικό &amp; Γραπτό Βαθμό'!F6&lt;&gt;3," ",IF('Με Προφορικό &amp; Γραπτό Βαθμό'!F8=1,"1ο Επιστημονικό Πεδίο"," "))</f>
        <v> </v>
      </c>
      <c r="D32" s="27">
        <f>IF(D31=" ",0,'Με Προφορικό &amp; Γραπτό Βαθμό'!K14*0.9)</f>
        <v>0</v>
      </c>
      <c r="E32" s="5">
        <f>IF(E31=" ",0,'Με Προφορικό &amp; Γραπτό Βαθμό'!K15*0.4)</f>
        <v>0</v>
      </c>
    </row>
    <row r="33" spans="2:5" ht="12.75">
      <c r="B33" s="37"/>
      <c r="C33" s="16"/>
      <c r="D33" s="28" t="str">
        <f>IF(C34=" "," ",IF('Με Προφορικό &amp; Γραπτό Βαθμό'!K22=" "," ","Αρχ. Οικονομ. Θ. x 1,3"))</f>
        <v> </v>
      </c>
      <c r="E33" s="10" t="str">
        <f>IF(C34=" "," ",IF('Με Προφορικό &amp; Γραπτό Βαθμό'!K22=" "," ","Μαθηματ &amp; Στ. Στ x 0,7"))</f>
        <v> </v>
      </c>
    </row>
    <row r="34" spans="2:5" ht="13.5" thickBot="1">
      <c r="B34" s="37"/>
      <c r="C34" s="33" t="str">
        <f>IF('Με Προφορικό &amp; Γραπτό Βαθμό'!F6&lt;&gt;3," ",IF('Με Προφορικό &amp; Γραπτό Βαθμό'!F8&lt;&gt;2," ",IF('Με Προφορικό &amp; Γραπτό Βαθμό'!K22=0," ","5ο Επιστημονικό Πεδίο")))</f>
        <v> </v>
      </c>
      <c r="D34" s="29">
        <f>IF(D33=" ",0,'Με Προφορικό &amp; Γραπτό Βαθμό'!K22*1.3)</f>
        <v>0</v>
      </c>
      <c r="E34" s="7">
        <f>IF(E33=" ",0,'Με Προφορικό &amp; Γραπτό Βαθμό'!K15*0.7)</f>
        <v>0</v>
      </c>
    </row>
    <row r="35" ht="13.5" thickTop="1"/>
    <row r="36" ht="13.5" thickBot="1"/>
    <row r="37" spans="2:5" ht="13.5" thickTop="1">
      <c r="B37" s="37" t="s">
        <v>13</v>
      </c>
      <c r="C37" s="30"/>
      <c r="D37" s="23" t="str">
        <f>IF(C38=" "," ",IF('Με Προφορικό &amp; Γραπτό Βαθμό'!F6=4,"Μαθηματικά x 1,3"," "))</f>
        <v> </v>
      </c>
      <c r="E37" s="3" t="str">
        <f>IF(C38=" "," ",IF('Με Προφορικό &amp; Γραπτό Βαθμό'!F6=4,"Φυσική x 0,7"," "))</f>
        <v> </v>
      </c>
    </row>
    <row r="38" spans="2:5" ht="13.5" thickBot="1">
      <c r="B38" s="37"/>
      <c r="C38" s="31" t="str">
        <f>IF('Με Προφορικό &amp; Γραπτό Βαθμό'!F6=4,"2ο, 4ο Επιστημονικό Πεδίο"," ")</f>
        <v> </v>
      </c>
      <c r="D38" s="24">
        <f>+IF(D37=" ",0,'Με Προφορικό &amp; Γραπτό Βαθμό'!K17*1.3)</f>
        <v>0</v>
      </c>
      <c r="E38" s="5">
        <f>+IF(E37=" ",0,'Με Προφορικό &amp; Γραπτό Βαθμό'!K18*0.7)</f>
        <v>0</v>
      </c>
    </row>
    <row r="39" spans="2:5" ht="12.75">
      <c r="B39" s="37"/>
      <c r="C39" s="32"/>
      <c r="D39" s="25" t="str">
        <f>IF(C40=" "," ",IF('Με Προφορικό &amp; Γραπτό Βαθμό'!F8=3,"Βιολογία x 0,9"," "))</f>
        <v> </v>
      </c>
      <c r="E39" s="8" t="str">
        <f>IF(C40=" "," ",IF('Με Προφορικό &amp; Γραπτό Βαθμό'!F8=3,"Νεολ. Γλώσσα x 0,4"," "))</f>
        <v> </v>
      </c>
    </row>
    <row r="40" spans="2:5" ht="13.5" thickBot="1">
      <c r="B40" s="37"/>
      <c r="C40" s="31" t="str">
        <f>IF('Με Προφορικό &amp; Γραπτό Βαθμό'!F6&lt;&gt;4," ",IF('Με Προφορικό &amp; Γραπτό Βαθμό'!F8=3,"3ο Επιστημονικό Πεδίο"," "))</f>
        <v> </v>
      </c>
      <c r="D40" s="24">
        <f>+IF(D39=" ",0,'Με Προφορικό &amp; Γραπτό Βαθμό'!K15*0.9)</f>
        <v>0</v>
      </c>
      <c r="E40" s="12">
        <f>+IF(E39=" ",0,'Με Προφορικό &amp; Γραπτό Βαθμό'!K14*0.4)</f>
        <v>0</v>
      </c>
    </row>
    <row r="41" spans="2:5" ht="12.75">
      <c r="B41" s="37"/>
      <c r="C41" s="16"/>
      <c r="D41" s="26" t="str">
        <f>IF(C42=" "," ",IF('Με Προφορικό &amp; Γραπτό Βαθμό'!F8=1,"Νεολ Γλώσσα x 0,9"," "))</f>
        <v> </v>
      </c>
      <c r="E41" s="6" t="str">
        <f>IF(C42=" "," ",IF('Με Προφορικό &amp; Γραπτό Βαθμό'!F8=1,"Ιστορία x 0,4"," "))</f>
        <v> </v>
      </c>
    </row>
    <row r="42" spans="2:5" ht="13.5" thickBot="1">
      <c r="B42" s="37"/>
      <c r="C42" s="17" t="str">
        <f>IF('Με Προφορικό &amp; Γραπτό Βαθμό'!F6&lt;&gt;4," ",IF('Με Προφορικό &amp; Γραπτό Βαθμό'!F8=1,"1ο Επιστημονικό Πεδίο"," "))</f>
        <v> </v>
      </c>
      <c r="D42" s="27">
        <f>IF(D41=" ",0,'Με Προφορικό &amp; Γραπτό Βαθμό'!K14*0.9)</f>
        <v>0</v>
      </c>
      <c r="E42" s="5">
        <f>IF(E41=" ",0,'Με Προφορικό &amp; Γραπτό Βαθμό'!K15*0.4)</f>
        <v>0</v>
      </c>
    </row>
    <row r="43" spans="2:5" ht="12.75">
      <c r="B43" s="37"/>
      <c r="C43" s="16"/>
      <c r="D43" s="28" t="str">
        <f>IF(C44=" "," ",IF('Με Προφορικό &amp; Γραπτό Βαθμό'!K22=" "," ","Αρχ. Οικονομ. Θ. x 1,3"))</f>
        <v> </v>
      </c>
      <c r="E43" s="10" t="str">
        <f>IF(C44=" "," ",IF('Με Προφορικό &amp; Γραπτό Βαθμό'!K22=" "," ","Μαθηματ &amp; Στ. Στ x 0,7"))</f>
        <v> </v>
      </c>
    </row>
    <row r="44" spans="2:5" ht="13.5" thickBot="1">
      <c r="B44" s="37"/>
      <c r="C44" s="33" t="str">
        <f>IF('Με Προφορικό &amp; Γραπτό Βαθμό'!F6&lt;&gt;4," ",IF('Με Προφορικό &amp; Γραπτό Βαθμό'!F8&lt;&gt;2," ",IF('Με Προφορικό &amp; Γραπτό Βαθμό'!K22=0," ","5ο Επιστημονικό Πεδίο")))</f>
        <v> </v>
      </c>
      <c r="D44" s="29">
        <f>IF(D43=" ",0,'Με Προφορικό &amp; Γραπτό Βαθμό'!K22*1.3)</f>
        <v>0</v>
      </c>
      <c r="E44" s="7">
        <f>IF(E43=" ",0,'Με Προφορικό &amp; Γραπτό Βαθμό'!K15*0.7)</f>
        <v>0</v>
      </c>
    </row>
    <row r="45" ht="13.5" thickTop="1"/>
  </sheetData>
  <sheetProtection/>
  <mergeCells count="4">
    <mergeCell ref="B9:B14"/>
    <mergeCell ref="B17:B24"/>
    <mergeCell ref="B27:B34"/>
    <mergeCell ref="B37:B4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3">
    <tabColor indexed="18"/>
  </sheetPr>
  <dimension ref="C2:K36"/>
  <sheetViews>
    <sheetView showGridLines="0" showRowColHeaders="0" showZeros="0" tabSelected="1" zoomScale="75" zoomScaleNormal="75" workbookViewId="0" topLeftCell="B1">
      <selection activeCell="L2" sqref="L2"/>
    </sheetView>
  </sheetViews>
  <sheetFormatPr defaultColWidth="9.140625" defaultRowHeight="12.75"/>
  <cols>
    <col min="1" max="2" width="4.421875" style="38" customWidth="1"/>
    <col min="3" max="3" width="6.00390625" style="38" customWidth="1"/>
    <col min="4" max="4" width="33.421875" style="38" customWidth="1"/>
    <col min="5" max="5" width="42.57421875" style="38" customWidth="1"/>
    <col min="6" max="6" width="41.140625" style="38" customWidth="1"/>
    <col min="7" max="7" width="11.00390625" style="38" customWidth="1"/>
    <col min="8" max="8" width="18.00390625" style="38" customWidth="1"/>
    <col min="9" max="9" width="17.00390625" style="38" customWidth="1"/>
    <col min="10" max="10" width="19.140625" style="38" customWidth="1"/>
    <col min="11" max="16384" width="9.140625" style="38" customWidth="1"/>
  </cols>
  <sheetData>
    <row r="1" ht="4.5" customHeight="1"/>
    <row r="2" spans="3:10" ht="26.25">
      <c r="C2" s="187" t="s">
        <v>24</v>
      </c>
      <c r="D2" s="187"/>
      <c r="E2" s="187"/>
      <c r="F2" s="187"/>
      <c r="G2" s="187"/>
      <c r="H2" s="187"/>
      <c r="I2" s="187"/>
      <c r="J2" s="187"/>
    </row>
    <row r="3" spans="4:10" ht="16.5" customHeight="1">
      <c r="D3" s="39" t="s">
        <v>37</v>
      </c>
      <c r="E3" s="40"/>
      <c r="I3" s="41"/>
      <c r="J3" s="41"/>
    </row>
    <row r="4" spans="3:10" ht="16.5" customHeight="1">
      <c r="C4" s="42"/>
      <c r="D4" s="39" t="s">
        <v>38</v>
      </c>
      <c r="E4" s="43"/>
      <c r="F4" s="42"/>
      <c r="G4" s="94" t="s">
        <v>39</v>
      </c>
      <c r="H4" s="95"/>
      <c r="I4" s="42"/>
      <c r="J4" s="42"/>
    </row>
    <row r="5" spans="3:10" ht="16.5" customHeight="1" thickBot="1">
      <c r="C5" s="42"/>
      <c r="D5" s="44"/>
      <c r="E5" s="45"/>
      <c r="F5" s="42"/>
      <c r="G5" s="94"/>
      <c r="H5" s="95"/>
      <c r="I5" s="42"/>
      <c r="J5" s="42"/>
    </row>
    <row r="6" spans="3:8" s="48" customFormat="1" ht="16.5" customHeight="1" thickBot="1" thickTop="1">
      <c r="C6" s="45"/>
      <c r="D6" s="46" t="s">
        <v>0</v>
      </c>
      <c r="E6" s="47">
        <v>1</v>
      </c>
      <c r="F6" s="45"/>
      <c r="G6" s="96"/>
      <c r="H6" s="96"/>
    </row>
    <row r="7" spans="3:10" ht="21.75" thickBot="1" thickTop="1">
      <c r="C7" s="42"/>
      <c r="D7" s="49">
        <f>IF(E6&lt;1,"ΛΑΘΟΣ ΕΠΙΛΟΓΗ ΑΡΙΘΜΟΥ από 1-4",IF(E6&gt;4,"ΛΑΘΟΣ ΕΠΙΛΟΓΗ ΑΡΙΘΜΟΥ από 1-4",IF(E8&lt;1,"ΛΑΘΟΣ ΕΠΙΛΟΓΗ ΑΡΙΘΜΟΥ από 1-4",IF(E8&gt;4,"ΛΑΘΟΣ ΕΠΙΛΟΓΗ ΑΡΙΘΜΟΥ από 1-4",))))</f>
        <v>0</v>
      </c>
      <c r="G7" s="97" t="s">
        <v>36</v>
      </c>
      <c r="H7" s="98"/>
      <c r="I7" s="98"/>
      <c r="J7" s="99"/>
    </row>
    <row r="8" spans="3:10" s="48" customFormat="1" ht="17.25" thickBot="1" thickTop="1">
      <c r="C8" s="45"/>
      <c r="D8" s="46" t="s">
        <v>1</v>
      </c>
      <c r="E8" s="47">
        <v>1</v>
      </c>
      <c r="F8" s="45"/>
      <c r="G8" s="114" t="s">
        <v>30</v>
      </c>
      <c r="H8" s="115"/>
      <c r="I8" s="115"/>
      <c r="J8" s="118">
        <v>20</v>
      </c>
    </row>
    <row r="9" spans="3:10" s="48" customFormat="1" ht="14.25" customHeight="1" thickTop="1">
      <c r="C9" s="45"/>
      <c r="D9" s="50"/>
      <c r="E9" s="51"/>
      <c r="F9" s="45"/>
      <c r="G9" s="52" t="str">
        <f>CHOOSE(E6,Φύλλο1!A1,Φύλλο1!A2,Φύλλο1!A2,Φύλλο1!A2)</f>
        <v>1ο Επιστημονικό Πεδίο</v>
      </c>
      <c r="H9" s="53"/>
      <c r="I9" s="54"/>
      <c r="J9" s="179">
        <f>+J8*2*100+J28</f>
        <v>24000</v>
      </c>
    </row>
    <row r="10" spans="3:10" s="48" customFormat="1" ht="14.25" customHeight="1">
      <c r="C10" s="107" t="str">
        <f>IF(E6=1,"ΘΕΩΡΗΤΙΚΗ ΚΑΤΕΥΘΥΝΣΗ",IF(E6=2,"ΘΕΤΙΚΗ ΚΑΤΕΥΘΥΝΣΗ",IF(E6=3,"ΤΕΧΝΟΛΟΓΙΚΗ ΚΑΤΕΥΘΥΝΣΗ (Κύκλος Πληροφορικής)","ΤΕΧΝΟΛΟΓΙΚΗ ΚΑΤΕΥΘΥΝΣΗ (Κύκλος Τεχνολογίας)")))</f>
        <v>ΘΕΩΡΗΤΙΚΗ ΚΑΤΕΥΘΥΝΣΗ</v>
      </c>
      <c r="D10" s="108"/>
      <c r="E10" s="109"/>
      <c r="F10" s="55"/>
      <c r="G10" s="52">
        <f>IF(E8=2,IF(E6=1,CHOOSE(E8,0,Φύλλο1!A2,0,0),0),0)</f>
        <v>0</v>
      </c>
      <c r="H10" s="53"/>
      <c r="I10" s="54"/>
      <c r="J10" s="179">
        <f>+IF(G10=0,0,J8*2*100+J30)</f>
        <v>0</v>
      </c>
    </row>
    <row r="11" spans="3:10" ht="15.75" thickBot="1">
      <c r="C11" s="42"/>
      <c r="D11" s="42"/>
      <c r="E11" s="56"/>
      <c r="F11" s="42"/>
      <c r="G11" s="57">
        <f>IF(E6=1,0,CHOOSE(E8,Φύλλο1!A1,0,0,0))</f>
        <v>0</v>
      </c>
      <c r="H11" s="58"/>
      <c r="I11" s="59"/>
      <c r="J11" s="180">
        <f>+IF(G11=0,0,J8*2*100+J32)</f>
        <v>0</v>
      </c>
    </row>
    <row r="12" spans="3:5" s="63" customFormat="1" ht="15.75" thickTop="1">
      <c r="C12" s="60" t="s">
        <v>2</v>
      </c>
      <c r="D12" s="61" t="s">
        <v>3</v>
      </c>
      <c r="E12" s="62" t="s">
        <v>5</v>
      </c>
    </row>
    <row r="13" spans="3:5" ht="15.75" thickBot="1">
      <c r="C13" s="64"/>
      <c r="D13" s="110" t="s">
        <v>15</v>
      </c>
      <c r="E13" s="111"/>
    </row>
    <row r="14" spans="3:10" ht="17.25" thickBot="1" thickTop="1">
      <c r="C14" s="65">
        <f>+C20+1</f>
        <v>5</v>
      </c>
      <c r="D14" s="66" t="s">
        <v>6</v>
      </c>
      <c r="E14" s="67">
        <v>20</v>
      </c>
      <c r="G14" s="97" t="s">
        <v>40</v>
      </c>
      <c r="H14" s="98"/>
      <c r="I14" s="98"/>
      <c r="J14" s="99"/>
    </row>
    <row r="15" spans="3:10" ht="16.5" customHeight="1" thickBot="1" thickTop="1">
      <c r="C15" s="65">
        <f>+C14+1</f>
        <v>6</v>
      </c>
      <c r="D15" s="66" t="str">
        <f>IF(E8=1,"Ιστορία",IF(E8=2,"Μαθηματικά &amp; Στ. Στατιστ.",IF(E8=3,"Βιολογία","Φυσική")))</f>
        <v>Ιστορία</v>
      </c>
      <c r="E15" s="67">
        <v>20</v>
      </c>
      <c r="F15" s="68"/>
      <c r="G15" s="114" t="s">
        <v>25</v>
      </c>
      <c r="H15" s="115"/>
      <c r="I15" s="115"/>
      <c r="J15" s="119">
        <v>20</v>
      </c>
    </row>
    <row r="16" spans="3:11" ht="15" customHeight="1" thickBot="1" thickTop="1">
      <c r="C16" s="69"/>
      <c r="D16" s="110" t="str">
        <f>IF(E6=1,"Μαθήματα Θεωρητικής Κατεύθυνσης",IF(E6=2,"Μαθήματα Θετικής Κατεύθυνσης",IF(E6=3,"Μαθήματα Τεχνολογικής Κατεύθυνσης (Κύκλος Πληροφορικής)","Μαθήματα Τεχνολογικής Κατεύθυνσης (Κύκλος Τεχνολογίας)")))</f>
        <v>Μαθήματα Θεωρητικής Κατεύθυνσης</v>
      </c>
      <c r="E16" s="111"/>
      <c r="F16" s="68"/>
      <c r="G16" s="70" t="s">
        <v>28</v>
      </c>
      <c r="H16" s="71"/>
      <c r="I16" s="72" t="s">
        <v>26</v>
      </c>
      <c r="J16" s="73" t="s">
        <v>27</v>
      </c>
      <c r="K16" s="74"/>
    </row>
    <row r="17" spans="3:10" ht="15" customHeight="1">
      <c r="C17" s="75">
        <v>1</v>
      </c>
      <c r="D17" s="76" t="str">
        <f>IF(E6=1,"Αρχαία Ελληνικά","Μαθηματικά")</f>
        <v>Αρχαία Ελληνικά</v>
      </c>
      <c r="E17" s="77">
        <v>20</v>
      </c>
      <c r="F17" s="68"/>
      <c r="G17" s="100" t="str">
        <f>+H28</f>
        <v>1ο Επιστημονικό Πεδίο</v>
      </c>
      <c r="H17" s="101"/>
      <c r="I17" s="78">
        <f>IF(J15&lt;10,0,IF(J28=0," ",J28+J15*100))</f>
        <v>22000</v>
      </c>
      <c r="J17" s="181">
        <f>IF(J15&lt;10,0,IF(J28=0," ",J28+J15*2*100))</f>
        <v>24000</v>
      </c>
    </row>
    <row r="18" spans="3:10" ht="15.75">
      <c r="C18" s="65">
        <f>+C17+1</f>
        <v>2</v>
      </c>
      <c r="D18" s="79" t="str">
        <f>IF(E6=1,"Ιστορία","Φυσική")</f>
        <v>Ιστορία</v>
      </c>
      <c r="E18" s="67">
        <v>20</v>
      </c>
      <c r="F18" s="68"/>
      <c r="G18" s="100" t="str">
        <f>+H30</f>
        <v> </v>
      </c>
      <c r="H18" s="101"/>
      <c r="I18" s="78" t="str">
        <f>IF(J15&lt;10,0,IF(J30=0," ",J30+J15*100))</f>
        <v> </v>
      </c>
      <c r="J18" s="181" t="str">
        <f>IF(J15&lt;10,0,IF(J30=0," ",J30+J15*2*100))</f>
        <v> </v>
      </c>
    </row>
    <row r="19" spans="3:10" ht="15.75">
      <c r="C19" s="65">
        <f>+C18+1</f>
        <v>3</v>
      </c>
      <c r="D19" s="79" t="str">
        <f>IF(E6=1,"Νεολ. Λογοτεχνία",IF(E6=2,"Χημεία",IF(E6=3,"Ανάπτυξη Εφαρμογών","Χημεία-Βιοχημεία")))</f>
        <v>Νεολ. Λογοτεχνία</v>
      </c>
      <c r="E19" s="67">
        <v>20</v>
      </c>
      <c r="F19" s="68"/>
      <c r="G19" s="100" t="str">
        <f>+H32</f>
        <v> </v>
      </c>
      <c r="H19" s="101"/>
      <c r="I19" s="78" t="str">
        <f>IF(J15&lt;10,0,IF(J32=0," ",J32+J15*100))</f>
        <v> </v>
      </c>
      <c r="J19" s="181" t="str">
        <f>IF(J15&lt;10,0,IF(J32=0," ",J32+J15*2*100))</f>
        <v> </v>
      </c>
    </row>
    <row r="20" spans="3:10" ht="16.5" thickBot="1">
      <c r="C20" s="65">
        <f>+C19+1</f>
        <v>4</v>
      </c>
      <c r="D20" s="79" t="str">
        <f>IF(E6=1,"Λατινικά",IF(E6=2,"Βιολογία",IF(E6=3,"Διοίκηση Επιχειρήσεων","Ηλεκτρολογία")))</f>
        <v>Λατινικά</v>
      </c>
      <c r="E20" s="67">
        <v>20</v>
      </c>
      <c r="F20" s="68"/>
      <c r="G20" s="102" t="str">
        <f>+H34</f>
        <v> </v>
      </c>
      <c r="H20" s="103"/>
      <c r="I20" s="80" t="str">
        <f>IF(J15&lt;10,0,IF(J34=0," ",J34+J15*100))</f>
        <v> </v>
      </c>
      <c r="J20" s="182" t="str">
        <f>IF(J15&lt;10,0,IF(J34=0," ",J34+J15*2*100))</f>
        <v> </v>
      </c>
    </row>
    <row r="21" spans="3:5" ht="15" customHeight="1" thickBot="1" thickTop="1">
      <c r="C21" s="81"/>
      <c r="D21" s="110" t="s">
        <v>20</v>
      </c>
      <c r="E21" s="111"/>
    </row>
    <row r="22" spans="3:5" ht="15.75">
      <c r="C22" s="82">
        <f>+C15+1</f>
        <v>7</v>
      </c>
      <c r="D22" s="83" t="s">
        <v>7</v>
      </c>
      <c r="E22" s="84">
        <v>0</v>
      </c>
    </row>
    <row r="23" spans="3:10" ht="3.75" customHeight="1" thickBot="1">
      <c r="C23" s="85"/>
      <c r="D23" s="42"/>
      <c r="E23" s="42"/>
      <c r="F23" s="42"/>
      <c r="G23" s="42"/>
      <c r="H23" s="42"/>
      <c r="I23" s="42"/>
      <c r="J23" s="42"/>
    </row>
    <row r="24" spans="3:10" ht="16.5" thickBot="1">
      <c r="C24" s="85"/>
      <c r="D24" s="113" t="s">
        <v>8</v>
      </c>
      <c r="E24" s="113"/>
      <c r="F24" s="112">
        <f>ROUND(IF(E22=0,AVERAGE(E14:E21),AVERAGE(E14:E22)),2)</f>
        <v>20</v>
      </c>
      <c r="H24" s="116" t="s">
        <v>22</v>
      </c>
      <c r="I24" s="116"/>
      <c r="J24" s="117">
        <f>+F24*8</f>
        <v>160</v>
      </c>
    </row>
    <row r="25" spans="3:10" ht="3.75" customHeight="1" thickBot="1">
      <c r="C25" s="42"/>
      <c r="D25" s="42"/>
      <c r="E25" s="42"/>
      <c r="F25" s="42"/>
      <c r="G25" s="42"/>
      <c r="H25" s="42"/>
      <c r="I25" s="42"/>
      <c r="J25" s="42"/>
    </row>
    <row r="26" spans="3:10" s="48" customFormat="1" ht="16.5" customHeight="1" thickBot="1" thickTop="1">
      <c r="C26" s="45"/>
      <c r="D26" s="132" t="s">
        <v>9</v>
      </c>
      <c r="E26" s="133"/>
      <c r="F26" s="134"/>
      <c r="G26" s="45"/>
      <c r="H26" s="172" t="s">
        <v>29</v>
      </c>
      <c r="I26" s="173"/>
      <c r="J26" s="174"/>
    </row>
    <row r="27" spans="3:10" ht="15">
      <c r="C27" s="104" t="str">
        <f>+C10</f>
        <v>ΘΕΩΡΗΤΙΚΗ ΚΑΤΕΥΘΥΝΣΗ</v>
      </c>
      <c r="D27" s="128"/>
      <c r="E27" s="87" t="str">
        <f>IF(Προσ!D9=" ",IF(Προσ!D17=" ",IF(Προσ!D27=" ",IF(Προσ!D37=" "," ",Προσ!D37),Προσ!D27),Προσ!D17),Προσ!D9)</f>
        <v>Αρχαία x 1,3</v>
      </c>
      <c r="F27" s="88" t="str">
        <f>IF(Προσ!E9=" ",IF(Προσ!E17=" ",IF(Προσ!E27=" ",IF(Προσ!E37=" "," ",Προσ!E37),Προσ!E27),Προσ!E17),Προσ!E9)</f>
        <v>Ιστορία x 0,7</v>
      </c>
      <c r="G27" s="42"/>
      <c r="H27" s="120"/>
      <c r="I27" s="121"/>
      <c r="J27" s="183"/>
    </row>
    <row r="28" spans="3:10" ht="16.5">
      <c r="C28" s="105"/>
      <c r="D28" s="129" t="str">
        <f>IF(Προσ!C10=" ",IF(Προσ!C18=" ",IF(Προσ!C28=" ",IF(Προσ!C38=" "," ",Προσ!C38),Προσ!C28),Προσ!C18),Προσ!C10)</f>
        <v>1ο Επιστημονικό Πεδίο</v>
      </c>
      <c r="E28" s="89">
        <f>IF(Προσ!D10=0,IF(Προσ!D18=0,IF(Προσ!D28=0,IF(Προσ!D38=0,0,Προσ!D38),Προσ!D28),Προσ!D18),Προσ!D10)</f>
        <v>26</v>
      </c>
      <c r="F28" s="90">
        <f>IF(Προσ!E10=0,IF(Προσ!E18=0,IF(Προσ!E28=0,IF(Προσ!E38=0,0,Προσ!E38),Προσ!E28),Προσ!E18),Προσ!E10)</f>
        <v>14</v>
      </c>
      <c r="G28" s="42"/>
      <c r="H28" s="122" t="str">
        <f>+D28</f>
        <v>1ο Επιστημονικό Πεδίο</v>
      </c>
      <c r="I28" s="123"/>
      <c r="J28" s="184">
        <f>+IF(D28=" ",0,(F24*8+E28+F28)*100)</f>
        <v>20000</v>
      </c>
    </row>
    <row r="29" spans="3:10" ht="16.5">
      <c r="C29" s="105"/>
      <c r="D29" s="130"/>
      <c r="E29" s="89" t="str">
        <f>IF(Προσ!D11=" ",IF(Προσ!D19=" ",IF(Προσ!D29=" ",IF(Προσ!D39=" "," ",Προσ!D39),Προσ!D29),Προσ!D19),Προσ!D11)</f>
        <v> </v>
      </c>
      <c r="F29" s="90" t="str">
        <f>IF(Προσ!E11=" ",IF(Προσ!E19=" ",IF(Προσ!E29=" ",IF(Προσ!E39=" "," ",Προσ!E39),Προσ!E29),Προσ!E19),Προσ!E11)</f>
        <v> </v>
      </c>
      <c r="G29" s="42"/>
      <c r="H29" s="124"/>
      <c r="I29" s="125"/>
      <c r="J29" s="185"/>
    </row>
    <row r="30" spans="3:10" ht="16.5">
      <c r="C30" s="105"/>
      <c r="D30" s="129" t="str">
        <f>IF(Προσ!C12=" ",IF(Προσ!C20=" ",IF(Προσ!C30=" ",IF(Προσ!C40=" "," ",Προσ!C40),Προσ!C30),Προσ!C20),Προσ!C12)</f>
        <v> </v>
      </c>
      <c r="E30" s="89">
        <f>IF(Προσ!D12=0,IF(Προσ!D20=0,IF(Προσ!D30=0,IF(Προσ!D40=0,0,Προσ!D40),Προσ!D30),Προσ!D20),Προσ!D12)</f>
        <v>0</v>
      </c>
      <c r="F30" s="90">
        <f>IF(Προσ!E12=0,IF(Προσ!E20=0,IF(Προσ!E30=0,IF(Προσ!E40=0,0,Προσ!E40),Προσ!E30),Προσ!E20),Προσ!E12)</f>
        <v>0</v>
      </c>
      <c r="G30" s="42"/>
      <c r="H30" s="122" t="str">
        <f>+D30</f>
        <v> </v>
      </c>
      <c r="I30" s="123"/>
      <c r="J30" s="184">
        <f>+IF(D30=" ",0,(F24*8+E30+F30)*100)</f>
        <v>0</v>
      </c>
    </row>
    <row r="31" spans="3:10" ht="16.5">
      <c r="C31" s="105"/>
      <c r="D31" s="130"/>
      <c r="E31" s="89" t="str">
        <f>IF(Προσ!D13=" ",IF(Προσ!D21=" ",IF(Προσ!D31=" ",IF(Προσ!D41=" "," ",Προσ!D41),Προσ!D31),Προσ!D21),Προσ!D13)</f>
        <v> </v>
      </c>
      <c r="F31" s="90" t="str">
        <f>IF(Προσ!E13=" ",IF(Προσ!E21=" ",IF(Προσ!E31=" ",IF(Προσ!E41=" "," ",Προσ!E41),Προσ!E31),Προσ!E21),Προσ!E13)</f>
        <v> </v>
      </c>
      <c r="G31" s="42"/>
      <c r="H31" s="124"/>
      <c r="I31" s="125"/>
      <c r="J31" s="185"/>
    </row>
    <row r="32" spans="3:10" ht="16.5">
      <c r="C32" s="105"/>
      <c r="D32" s="129" t="str">
        <f>IF(Προσ!C14=" ",IF(Προσ!C22=" ",IF(Προσ!C32=" ",IF(Προσ!C42=" "," ",Προσ!C42),Προσ!C32),Προσ!C22),Προσ!C14)</f>
        <v> </v>
      </c>
      <c r="E32" s="89">
        <f>IF(Προσ!D14=0,IF(Προσ!D22=0,IF(Προσ!D32=0,IF(Προσ!D42=0,0,Προσ!D42),Προσ!D32),Προσ!D22),Προσ!D14)</f>
        <v>0</v>
      </c>
      <c r="F32" s="90">
        <f>IF(Προσ!E14=0,IF(Προσ!E22=0,IF(Προσ!E32=0,IF(Προσ!E42=0,0,Προσ!E42),Προσ!E32),Προσ!E22),Προσ!E14)</f>
        <v>0</v>
      </c>
      <c r="G32" s="42"/>
      <c r="H32" s="122" t="str">
        <f>+D32</f>
        <v> </v>
      </c>
      <c r="I32" s="123"/>
      <c r="J32" s="184">
        <f>+IF(D32=" ",0,(F24*8+E32+F32)*100)</f>
        <v>0</v>
      </c>
    </row>
    <row r="33" spans="3:10" ht="16.5">
      <c r="C33" s="105"/>
      <c r="D33" s="129"/>
      <c r="E33" s="89" t="str">
        <f>IF(Προσ!D23=" ",IF(Προσ!D33=" ",IF(Προσ!D43=" "," ",Προσ!D43),Προσ!D33),Προσ!D23)</f>
        <v> </v>
      </c>
      <c r="F33" s="90" t="str">
        <f>IF(Προσ!E23=" ",IF(Προσ!E33=" ",IF(Προσ!E43=" "," ",Προσ!E43),Προσ!E33),Προσ!E23)</f>
        <v> </v>
      </c>
      <c r="G33" s="42"/>
      <c r="H33" s="124"/>
      <c r="I33" s="125"/>
      <c r="J33" s="185"/>
    </row>
    <row r="34" spans="3:10" ht="17.25" thickBot="1">
      <c r="C34" s="106"/>
      <c r="D34" s="131" t="str">
        <f>IF(Προσ!C24=" ",IF(Προσ!C34=" ",IF(Προσ!C44=" "," ",Προσ!C44),Προσ!C34),Προσ!C24)</f>
        <v> </v>
      </c>
      <c r="E34" s="91">
        <f>IF(Προσ!D24=0,IF(Προσ!D34=0,IF(Προσ!D44=0,0,Προσ!D44),Προσ!D34),Προσ!D24)</f>
        <v>0</v>
      </c>
      <c r="F34" s="92">
        <f>IF(Προσ!E24=0,IF(Προσ!E34=0,IF(Προσ!E44=0,0,Προσ!E44),Προσ!E34),Προσ!E24)</f>
        <v>0</v>
      </c>
      <c r="G34" s="42"/>
      <c r="H34" s="126" t="str">
        <f>+D34</f>
        <v> </v>
      </c>
      <c r="I34" s="127"/>
      <c r="J34" s="186">
        <f>+IF(D34=" ",0,(F24*8+E34+F34)*100)</f>
        <v>0</v>
      </c>
    </row>
    <row r="35" spans="3:10" ht="9" customHeight="1" thickTop="1">
      <c r="C35" s="42"/>
      <c r="D35" s="42"/>
      <c r="E35" s="42"/>
      <c r="F35" s="42"/>
      <c r="G35" s="42"/>
      <c r="H35" s="42"/>
      <c r="I35" s="42"/>
      <c r="J35" s="42"/>
    </row>
    <row r="36" spans="3:10" ht="10.5" customHeight="1">
      <c r="C36" s="93"/>
      <c r="D36" s="42"/>
      <c r="E36" s="42"/>
      <c r="F36" s="42"/>
      <c r="G36" s="42"/>
      <c r="H36" s="42"/>
      <c r="I36" s="42"/>
      <c r="J36" s="42"/>
    </row>
    <row r="37" ht="13.5" customHeight="1"/>
  </sheetData>
  <sheetProtection password="D745" sheet="1" objects="1" scenarios="1"/>
  <protectedRanges>
    <protectedRange sqref="E6 E8 E14:E15 E17:E20 E22 J15 J8 E4 E3" name="Περιοχή1"/>
  </protectedRanges>
  <mergeCells count="28">
    <mergeCell ref="D21:E21"/>
    <mergeCell ref="G14:J14"/>
    <mergeCell ref="C2:J2"/>
    <mergeCell ref="D16:E16"/>
    <mergeCell ref="C27:C34"/>
    <mergeCell ref="H28:I28"/>
    <mergeCell ref="H30:I30"/>
    <mergeCell ref="H32:I32"/>
    <mergeCell ref="H34:I34"/>
    <mergeCell ref="D26:F26"/>
    <mergeCell ref="H26:J26"/>
    <mergeCell ref="D13:E13"/>
    <mergeCell ref="D24:E24"/>
    <mergeCell ref="H24:I24"/>
    <mergeCell ref="G16:H16"/>
    <mergeCell ref="G15:I15"/>
    <mergeCell ref="G20:H20"/>
    <mergeCell ref="G19:H19"/>
    <mergeCell ref="G18:H18"/>
    <mergeCell ref="G11:I11"/>
    <mergeCell ref="C10:E10"/>
    <mergeCell ref="G17:H17"/>
    <mergeCell ref="C12:C13"/>
    <mergeCell ref="G4:H6"/>
    <mergeCell ref="G7:J7"/>
    <mergeCell ref="G8:I8"/>
    <mergeCell ref="G9:I9"/>
    <mergeCell ref="G10:I10"/>
  </mergeCells>
  <printOptions/>
  <pageMargins left="0.27" right="0.46" top="0.49" bottom="0.49" header="0.5" footer="0.5"/>
  <pageSetup horizontalDpi="300" verticalDpi="3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Φύλλο5"/>
  <dimension ref="A1:A5"/>
  <sheetViews>
    <sheetView showRowColHeaders="0" workbookViewId="0" topLeftCell="A1">
      <selection activeCell="I32" sqref="I32"/>
    </sheetView>
  </sheetViews>
  <sheetFormatPr defaultColWidth="9.140625" defaultRowHeight="12.75"/>
  <sheetData>
    <row r="1" ht="12.75">
      <c r="A1" s="35" t="s">
        <v>31</v>
      </c>
    </row>
    <row r="2" ht="12.75">
      <c r="A2" s="35" t="s">
        <v>32</v>
      </c>
    </row>
    <row r="3" ht="12.75">
      <c r="A3" s="35" t="s">
        <v>33</v>
      </c>
    </row>
    <row r="4" ht="12.75">
      <c r="A4" s="35" t="s">
        <v>34</v>
      </c>
    </row>
    <row r="5" ht="12.75">
      <c r="A5" s="35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Φύλλο4"/>
  <dimension ref="A1:E44"/>
  <sheetViews>
    <sheetView showZeros="0" workbookViewId="0" topLeftCell="A3">
      <selection activeCell="C15" sqref="C15"/>
    </sheetView>
  </sheetViews>
  <sheetFormatPr defaultColWidth="9.140625" defaultRowHeight="12.75"/>
  <cols>
    <col min="2" max="2" width="13.7109375" style="0" customWidth="1"/>
    <col min="3" max="3" width="26.421875" style="0" customWidth="1"/>
    <col min="4" max="5" width="21.7109375" style="0" customWidth="1"/>
  </cols>
  <sheetData>
    <row r="1" ht="12.75">
      <c r="A1" t="s">
        <v>21</v>
      </c>
    </row>
    <row r="8" ht="13.5" thickBot="1"/>
    <row r="9" spans="2:5" ht="13.5" thickTop="1">
      <c r="B9" s="36" t="s">
        <v>10</v>
      </c>
      <c r="C9" s="2"/>
      <c r="D9" s="13" t="str">
        <f>IF('Με Βαθμό Πρόσβασης Μαθήματος'!E6=1,"Αρχαία x 1,3"," ")</f>
        <v>Αρχαία x 1,3</v>
      </c>
      <c r="E9" s="18" t="str">
        <f>IF('Με Βαθμό Πρόσβασης Μαθήματος'!E6=1,"Ιστορία x 0,7"," ")</f>
        <v>Ιστορία x 0,7</v>
      </c>
    </row>
    <row r="10" spans="2:5" ht="13.5" thickBot="1">
      <c r="B10" s="36"/>
      <c r="C10" s="4" t="str">
        <f>IF('Με Βαθμό Πρόσβασης Μαθήματος'!E6=1,"1ο Επιστημονικό Πεδίο"," ")</f>
        <v>1ο Επιστημονικό Πεδίο</v>
      </c>
      <c r="D10" s="14">
        <f>+IF(D9=" ",0,'Με Βαθμό Πρόσβασης Μαθήματος'!E17*1.3)</f>
        <v>26</v>
      </c>
      <c r="E10" s="19">
        <f>+IF(E9=" ",0,'Με Βαθμό Πρόσβασης Μαθήματος'!E18*0.7)</f>
        <v>14</v>
      </c>
    </row>
    <row r="11" spans="2:5" ht="12.75">
      <c r="B11" s="36"/>
      <c r="C11" s="9"/>
      <c r="D11" s="15" t="str">
        <f>IF(C12=" "," ",IF('Με Βαθμό Πρόσβασης Μαθήματος'!E8=1," ",IF('Με Βαθμό Πρόσβασης Μαθήματος'!E8=2,"Μαθηματ &amp; Στ. Στ x 0,9",IF('Με Βαθμό Πρόσβασης Μαθήματος'!E8=3,"Βιολογία x 0,9"," "))))</f>
        <v> </v>
      </c>
      <c r="E11" s="20" t="str">
        <f>IF(C12=" "," ",IF('Με Βαθμό Πρόσβασης Μαθήματος'!E8=1," ",IF('Με Βαθμό Πρόσβασης Μαθήματος'!E8=2,"Νεοελ Γλώσσα x 0,4",IF('Με Βαθμό Πρόσβασης Μαθήματος'!E8=3,"Νεοελ Γλώσσα x 0,4"," "))))</f>
        <v> </v>
      </c>
    </row>
    <row r="12" spans="2:5" ht="13.5" thickBot="1">
      <c r="B12" s="36"/>
      <c r="C12" s="11" t="str">
        <f>IF('Με Βαθμό Πρόσβασης Μαθήματος'!E6&lt;&gt;1," ",IF('Με Βαθμό Πρόσβασης Μαθήματος'!E8=1," ",IF('Με Βαθμό Πρόσβασης Μαθήματος'!E8=2,"2ο,4ο Επιστημονικό Πεδίο",IF('Με Βαθμό Πρόσβασης Μαθήματος'!E8=3,"3ο Επιστημονικό Πεδίο"," "))))</f>
        <v> </v>
      </c>
      <c r="D12" s="21">
        <f>IF(D11=" ",0,'Με Βαθμό Πρόσβασης Μαθήματος'!E15*0.9)</f>
        <v>0</v>
      </c>
      <c r="E12" s="12">
        <f>IF(E11=" ",0,'Με Βαθμό Πρόσβασης Μαθήματος'!E14*0.4)</f>
        <v>0</v>
      </c>
    </row>
    <row r="13" spans="2:5" ht="12.75">
      <c r="B13" s="36"/>
      <c r="C13" s="16"/>
      <c r="D13" s="22" t="str">
        <f>IF(C14=" "," ",IF('Με Βαθμό Πρόσβασης Μαθήματος'!J22=" "," ","Αρχ. Οικονομ. Θ. x 1,3"))</f>
        <v> </v>
      </c>
      <c r="E13" s="6" t="str">
        <f>IF(C14=" "," ",IF('Με Βαθμό Πρόσβασης Μαθήματος'!J22=" "," ","Μαθηματ &amp; Στ. Στ x 0,7"))</f>
        <v> </v>
      </c>
    </row>
    <row r="14" spans="2:5" ht="13.5" thickBot="1">
      <c r="B14" s="36"/>
      <c r="C14" s="33" t="str">
        <f>IF('Με Βαθμό Πρόσβασης Μαθήματος'!E6&lt;&gt;1," ",IF('Με Βαθμό Πρόσβασης Μαθήματος'!E8&lt;&gt;2," ",IF('Με Βαθμό Πρόσβασης Μαθήματος'!E22=0," ","5ο Επιστημονικό Πεδίο")))</f>
        <v> </v>
      </c>
      <c r="D14" s="34">
        <f>IF(D13=" ",0,'Με Βαθμό Πρόσβασης Μαθήματος'!E22*1.3)</f>
        <v>0</v>
      </c>
      <c r="E14" s="7">
        <f>IF(E13=" ",0,'Με Βαθμό Πρόσβασης Μαθήματος'!E15*0.7)</f>
        <v>0</v>
      </c>
    </row>
    <row r="15" ht="13.5" thickTop="1"/>
    <row r="16" ht="13.5" thickBot="1"/>
    <row r="17" spans="2:5" ht="13.5" customHeight="1" thickTop="1">
      <c r="B17" s="36" t="s">
        <v>11</v>
      </c>
      <c r="C17" s="30"/>
      <c r="D17" s="23" t="str">
        <f>IF(C18=" "," ",IF('Με Βαθμό Πρόσβασης Μαθήματος'!E6=2,"Μαθηματικά x 1,3"," "))</f>
        <v> </v>
      </c>
      <c r="E17" s="3" t="str">
        <f>IF(C18=" "," ",IF('Με Βαθμό Πρόσβασης Μαθήματος'!E6=2,"Φυσική x 0,7"," "))</f>
        <v> </v>
      </c>
    </row>
    <row r="18" spans="2:5" ht="13.5" thickBot="1">
      <c r="B18" s="36"/>
      <c r="C18" s="31" t="str">
        <f>IF('Με Βαθμό Πρόσβασης Μαθήματος'!E6=2,"2ο, 4ο Επιστημονικό Πεδίο"," ")</f>
        <v> </v>
      </c>
      <c r="D18" s="24">
        <f>+IF(D17=" ",0,'Με Βαθμό Πρόσβασης Μαθήματος'!E17*1.3)</f>
        <v>0</v>
      </c>
      <c r="E18" s="5">
        <f>+IF(E17=" ",0,'Με Βαθμό Πρόσβασης Μαθήματος'!E18*0.7)</f>
        <v>0</v>
      </c>
    </row>
    <row r="19" spans="2:5" ht="12.75">
      <c r="B19" s="36"/>
      <c r="C19" s="32"/>
      <c r="D19" s="25" t="str">
        <f>IF(C20=" "," ",IF('Με Βαθμό Πρόσβασης Μαθήματος'!E6=2,"Βιολογία x 1,3"," "))</f>
        <v> </v>
      </c>
      <c r="E19" s="8" t="str">
        <f>IF(C20=" "," ",IF('Με Βαθμό Πρόσβασης Μαθήματος'!E6=2,"Χημεία x 0,7"," "))</f>
        <v> </v>
      </c>
    </row>
    <row r="20" spans="2:5" ht="13.5" thickBot="1">
      <c r="B20" s="36"/>
      <c r="C20" s="31" t="str">
        <f>IF('Με Βαθμό Πρόσβασης Μαθήματος'!E6&lt;&gt;2," ",IF('Με Βαθμό Πρόσβασης Μαθήματος'!E6=2,"3ο Επιστημονικό Πεδίο"," "))</f>
        <v> </v>
      </c>
      <c r="D20" s="24">
        <f>+IF(D19=" ",0,'Με Βαθμό Πρόσβασης Μαθήματος'!E20*1.3)</f>
        <v>0</v>
      </c>
      <c r="E20" s="12">
        <f>+IF(E19=" ",0,'Με Βαθμό Πρόσβασης Μαθήματος'!E19*0.7)</f>
        <v>0</v>
      </c>
    </row>
    <row r="21" spans="2:5" ht="12.75">
      <c r="B21" s="36"/>
      <c r="C21" s="16"/>
      <c r="D21" s="26" t="str">
        <f>IF(C22=" "," ",IF('Με Βαθμό Πρόσβασης Μαθήματος'!E8=2," ",IF('Με Βαθμό Πρόσβασης Μαθήματος'!E8=1,"Νεολ Γλώσσα x 0,9")))</f>
        <v> </v>
      </c>
      <c r="E21" s="6" t="str">
        <f>IF(C22=" "," ",IF('Με Βαθμό Πρόσβασης Μαθήματος'!E8=2," ",IF('Με Βαθμό Πρόσβασης Μαθήματος'!E8=1,"Ιστορία x 0,4")))</f>
        <v> </v>
      </c>
    </row>
    <row r="22" spans="2:5" ht="13.5" thickBot="1">
      <c r="B22" s="36"/>
      <c r="C22" s="17" t="str">
        <f>IF('Με Βαθμό Πρόσβασης Μαθήματος'!E6&lt;&gt;2," ",IF('Με Βαθμό Πρόσβασης Μαθήματος'!E8=2," ",IF('Με Βαθμό Πρόσβασης Μαθήματος'!E8=1,"1ο Επιστημονικό Πεδίο",IF('Με Βαθμό Πρόσβασης Μαθήματος'!E8=3," "," "))))</f>
        <v> </v>
      </c>
      <c r="D22" s="27">
        <f>IF(D21=" ",0,'Με Βαθμό Πρόσβασης Μαθήματος'!E14*0.9)</f>
        <v>0</v>
      </c>
      <c r="E22" s="5">
        <f>IF(E21=" ",0,'Με Βαθμό Πρόσβασης Μαθήματος'!E15*0.4)</f>
        <v>0</v>
      </c>
    </row>
    <row r="23" spans="2:5" ht="12.75">
      <c r="B23" s="36"/>
      <c r="C23" s="16"/>
      <c r="D23" s="28" t="str">
        <f>IF(C24=" "," ",IF('Με Βαθμό Πρόσβασης Μαθήματος'!J22=" "," ","Αρχ. Οικονομ. Θ. x 1,3"))</f>
        <v> </v>
      </c>
      <c r="E23" s="10" t="str">
        <f>IF(C24=" "," ",IF('Με Βαθμό Πρόσβασης Μαθήματος'!J22=" "," ","Μαθηματ &amp; Στ. Στ x 0,7"))</f>
        <v> </v>
      </c>
    </row>
    <row r="24" spans="2:5" ht="13.5" thickBot="1">
      <c r="B24" s="36"/>
      <c r="C24" s="33" t="str">
        <f>IF('Με Βαθμό Πρόσβασης Μαθήματος'!E6&lt;&gt;2," ",IF('Με Βαθμό Πρόσβασης Μαθήματος'!E8&lt;&gt;2," ",IF('Με Βαθμό Πρόσβασης Μαθήματος'!E22=0," ","5ο Επιστημονικό Πεδίο")))</f>
        <v> </v>
      </c>
      <c r="D24" s="29">
        <f>IF(D23=" ",0,'Με Βαθμό Πρόσβασης Μαθήματος'!E22*1.3)</f>
        <v>0</v>
      </c>
      <c r="E24" s="7">
        <f>IF(E23=" ",0,'Με Βαθμό Πρόσβασης Μαθήματος'!E15*0.7)</f>
        <v>0</v>
      </c>
    </row>
    <row r="25" ht="13.5" thickTop="1">
      <c r="B25" s="1"/>
    </row>
    <row r="26" ht="13.5" thickBot="1"/>
    <row r="27" spans="2:5" ht="13.5" thickTop="1">
      <c r="B27" s="37" t="s">
        <v>12</v>
      </c>
      <c r="C27" s="30"/>
      <c r="D27" s="23" t="str">
        <f>IF(C28=" "," ",IF('Με Βαθμό Πρόσβασης Μαθήματος'!E6=3,"Μαθηματικά x 1,3"," "))</f>
        <v> </v>
      </c>
      <c r="E27" s="3" t="str">
        <f>IF(C28=" "," ",IF('Με Βαθμό Πρόσβασης Μαθήματος'!E6=3,"Φυσική x 0,7"," "))</f>
        <v> </v>
      </c>
    </row>
    <row r="28" spans="2:5" ht="13.5" thickBot="1">
      <c r="B28" s="37"/>
      <c r="C28" s="31" t="str">
        <f>IF('Με Βαθμό Πρόσβασης Μαθήματος'!E6=3,"2ο, 4ο Επιστημονικό Πεδίο"," ")</f>
        <v> </v>
      </c>
      <c r="D28" s="24">
        <f>+IF(D27=" ",0,'Με Βαθμό Πρόσβασης Μαθήματος'!E17*1.3)</f>
        <v>0</v>
      </c>
      <c r="E28" s="5">
        <f>+IF(E27=" ",0,'Με Βαθμό Πρόσβασης Μαθήματος'!E18*0.7)</f>
        <v>0</v>
      </c>
    </row>
    <row r="29" spans="2:5" ht="12.75">
      <c r="B29" s="37"/>
      <c r="C29" s="32"/>
      <c r="D29" s="25" t="str">
        <f>IF(C30=" "," ",IF('Με Βαθμό Πρόσβασης Μαθήματος'!E8=3,"Βιολογία x 0,9"," "))</f>
        <v> </v>
      </c>
      <c r="E29" s="8" t="str">
        <f>IF(C30=" "," ",IF('Με Βαθμό Πρόσβασης Μαθήματος'!E8=3,"Νεολ. Γλώσσα x 0,4"," "))</f>
        <v> </v>
      </c>
    </row>
    <row r="30" spans="2:5" ht="13.5" thickBot="1">
      <c r="B30" s="37"/>
      <c r="C30" s="31" t="str">
        <f>IF('Με Βαθμό Πρόσβασης Μαθήματος'!E6&lt;&gt;3," ",IF('Με Βαθμό Πρόσβασης Μαθήματος'!E8=3,"3ο Επιστημονικό Πεδίο"," "))</f>
        <v> </v>
      </c>
      <c r="D30" s="24">
        <f>+IF(D29=" ",0,'Με Βαθμό Πρόσβασης Μαθήματος'!E15*0.9)</f>
        <v>0</v>
      </c>
      <c r="E30" s="12">
        <f>+IF(E29=" ",0,'Με Βαθμό Πρόσβασης Μαθήματος'!E14*0.4)</f>
        <v>0</v>
      </c>
    </row>
    <row r="31" spans="2:5" ht="12.75">
      <c r="B31" s="37"/>
      <c r="C31" s="16"/>
      <c r="D31" s="26" t="str">
        <f>IF(C32=" "," ",IF('Με Βαθμό Πρόσβασης Μαθήματος'!E8=1,"Νεολ Γλώσσα x 0,9"," "))</f>
        <v> </v>
      </c>
      <c r="E31" s="6" t="str">
        <f>IF(C32=" "," ",IF('Με Βαθμό Πρόσβασης Μαθήματος'!E8=1,"Ιστορία x 0,4"," "))</f>
        <v> </v>
      </c>
    </row>
    <row r="32" spans="2:5" ht="13.5" thickBot="1">
      <c r="B32" s="37"/>
      <c r="C32" s="17" t="str">
        <f>IF('Με Βαθμό Πρόσβασης Μαθήματος'!E6&lt;&gt;3," ",IF('Με Βαθμό Πρόσβασης Μαθήματος'!E8=1,"1ο Επιστημονικό Πεδίο"," "))</f>
        <v> </v>
      </c>
      <c r="D32" s="27">
        <f>IF(D31=" ",0,'Με Βαθμό Πρόσβασης Μαθήματος'!E14*0.9)</f>
        <v>0</v>
      </c>
      <c r="E32" s="5">
        <f>IF(E31=" ",0,'Με Βαθμό Πρόσβασης Μαθήματος'!E15*0.4)</f>
        <v>0</v>
      </c>
    </row>
    <row r="33" spans="2:5" ht="12.75">
      <c r="B33" s="37"/>
      <c r="C33" s="16"/>
      <c r="D33" s="28" t="str">
        <f>IF(C34=" "," ",IF('Με Βαθμό Πρόσβασης Μαθήματος'!J22=" "," ","Αρχ. Οικονομ. Θ. x 1,3"))</f>
        <v> </v>
      </c>
      <c r="E33" s="10" t="str">
        <f>IF(C34=" "," ",IF('Με Βαθμό Πρόσβασης Μαθήματος'!J22=" "," ","Μαθηματ &amp; Στ. Στ x 0,7"))</f>
        <v> </v>
      </c>
    </row>
    <row r="34" spans="2:5" ht="13.5" thickBot="1">
      <c r="B34" s="37"/>
      <c r="C34" s="33" t="str">
        <f>IF('Με Βαθμό Πρόσβασης Μαθήματος'!E6&lt;&gt;3," ",IF('Με Βαθμό Πρόσβασης Μαθήματος'!E8&lt;&gt;2," ",IF('Με Βαθμό Πρόσβασης Μαθήματος'!E22=0," ","5ο Επιστημονικό Πεδίο")))</f>
        <v> </v>
      </c>
      <c r="D34" s="29">
        <f>IF(D33=" ",0,'Με Βαθμό Πρόσβασης Μαθήματος'!E22*1.3)</f>
        <v>0</v>
      </c>
      <c r="E34" s="7">
        <f>IF(E33=" ",0,'Με Βαθμό Πρόσβασης Μαθήματος'!E15*0.7)</f>
        <v>0</v>
      </c>
    </row>
    <row r="35" ht="13.5" thickTop="1"/>
    <row r="36" ht="13.5" thickBot="1"/>
    <row r="37" spans="2:5" ht="13.5" thickTop="1">
      <c r="B37" s="37" t="s">
        <v>13</v>
      </c>
      <c r="C37" s="30"/>
      <c r="D37" s="23" t="str">
        <f>IF(C38=" "," ",IF('Με Βαθμό Πρόσβασης Μαθήματος'!E6=4,"Μαθηματικά x 1,3"," "))</f>
        <v> </v>
      </c>
      <c r="E37" s="3" t="str">
        <f>IF(C38=" "," ",IF('Με Βαθμό Πρόσβασης Μαθήματος'!E6=4,"Φυσική x 0,7"," "))</f>
        <v> </v>
      </c>
    </row>
    <row r="38" spans="2:5" ht="13.5" thickBot="1">
      <c r="B38" s="37"/>
      <c r="C38" s="31" t="str">
        <f>IF('Με Βαθμό Πρόσβασης Μαθήματος'!E6=4,"2ο, 4ο Επιστημονικό Πεδίο"," ")</f>
        <v> </v>
      </c>
      <c r="D38" s="24">
        <f>+IF(D37=" ",0,'Με Βαθμό Πρόσβασης Μαθήματος'!E17*1.3)</f>
        <v>0</v>
      </c>
      <c r="E38" s="5">
        <f>+IF(E37=" ",0,'Με Βαθμό Πρόσβασης Μαθήματος'!E18*0.7)</f>
        <v>0</v>
      </c>
    </row>
    <row r="39" spans="2:5" ht="12.75">
      <c r="B39" s="37"/>
      <c r="C39" s="32"/>
      <c r="D39" s="25" t="str">
        <f>IF(C40=" "," ",IF('Με Βαθμό Πρόσβασης Μαθήματος'!E8=3,"Βιολογία x 0,9"," "))</f>
        <v> </v>
      </c>
      <c r="E39" s="8" t="str">
        <f>IF(C40=" "," ",IF('Με Βαθμό Πρόσβασης Μαθήματος'!E8=3,"Νεολ. Γλώσσα x 0,4"," "))</f>
        <v> </v>
      </c>
    </row>
    <row r="40" spans="2:5" ht="13.5" thickBot="1">
      <c r="B40" s="37"/>
      <c r="C40" s="31" t="str">
        <f>IF('Με Βαθμό Πρόσβασης Μαθήματος'!E6&lt;&gt;4," ",IF('Με Βαθμό Πρόσβασης Μαθήματος'!E8=3,"3ο Επιστημονικό Πεδίο"," "))</f>
        <v> </v>
      </c>
      <c r="D40" s="24">
        <f>+IF(D39=" ",0,'Με Βαθμό Πρόσβασης Μαθήματος'!E15*0.9)</f>
        <v>0</v>
      </c>
      <c r="E40" s="12">
        <f>+IF(E39=" ",0,'Με Βαθμό Πρόσβασης Μαθήματος'!E14*0.4)</f>
        <v>0</v>
      </c>
    </row>
    <row r="41" spans="2:5" ht="12.75">
      <c r="B41" s="37"/>
      <c r="C41" s="16"/>
      <c r="D41" s="26" t="str">
        <f>IF(C42=" "," ",IF('Με Βαθμό Πρόσβασης Μαθήματος'!E8=1,"Νεολ Γλώσσα x 0,9"," "))</f>
        <v> </v>
      </c>
      <c r="E41" s="6" t="str">
        <f>IF(C42=" "," ",IF('Με Βαθμό Πρόσβασης Μαθήματος'!E8=1,"Ιστορία x 0,4"," "))</f>
        <v> </v>
      </c>
    </row>
    <row r="42" spans="2:5" ht="13.5" thickBot="1">
      <c r="B42" s="37"/>
      <c r="C42" s="17" t="str">
        <f>IF('Με Βαθμό Πρόσβασης Μαθήματος'!E6&lt;&gt;4," ",IF('Με Βαθμό Πρόσβασης Μαθήματος'!E8=1,"1ο Επιστημονικό Πεδίο"," "))</f>
        <v> </v>
      </c>
      <c r="D42" s="27">
        <f>IF(D41=" ",0,'Με Βαθμό Πρόσβασης Μαθήματος'!E14*0.9)</f>
        <v>0</v>
      </c>
      <c r="E42" s="5">
        <f>IF(E41=" ",0,'Με Βαθμό Πρόσβασης Μαθήματος'!E15*0.4)</f>
        <v>0</v>
      </c>
    </row>
    <row r="43" spans="2:5" ht="12.75">
      <c r="B43" s="37"/>
      <c r="C43" s="16"/>
      <c r="D43" s="28" t="str">
        <f>IF(C44=" "," ",IF('Με Βαθμό Πρόσβασης Μαθήματος'!J22=" "," ","Αρχ. Οικονομ. Θ. x 1,3"))</f>
        <v> </v>
      </c>
      <c r="E43" s="10" t="str">
        <f>IF(C44=" "," ",IF('Με Βαθμό Πρόσβασης Μαθήματος'!J22=" "," ","Μαθηματ &amp; Στ. Στ x 0,7"))</f>
        <v> </v>
      </c>
    </row>
    <row r="44" spans="2:5" ht="13.5" thickBot="1">
      <c r="B44" s="37"/>
      <c r="C44" s="33" t="str">
        <f>IF('Με Βαθμό Πρόσβασης Μαθήματος'!E6&lt;&gt;4," ",IF('Με Βαθμό Πρόσβασης Μαθήματος'!E8&lt;&gt;2," ",IF('Με Βαθμό Πρόσβασης Μαθήματος'!E22=0," ","5ο Επιστημονικό Πεδίο")))</f>
        <v> </v>
      </c>
      <c r="D44" s="29">
        <f>IF(D43=" ",0,'Με Βαθμό Πρόσβασης Μαθήματος'!E22*1.3)</f>
        <v>0</v>
      </c>
      <c r="E44" s="7">
        <f>IF(E43=" ",0,'Με Βαθμό Πρόσβασης Μαθήματος'!E15*0.7)</f>
        <v>0</v>
      </c>
    </row>
    <row r="45" ht="13.5" thickTop="1"/>
  </sheetData>
  <sheetProtection password="DE9A" sheet="1" objects="1" scenarios="1"/>
  <mergeCells count="4">
    <mergeCell ref="B9:B14"/>
    <mergeCell ref="B17:B24"/>
    <mergeCell ref="B27:B34"/>
    <mergeCell ref="B37:B4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fragalas</cp:lastModifiedBy>
  <cp:lastPrinted>2006-02-07T11:33:38Z</cp:lastPrinted>
  <dcterms:created xsi:type="dcterms:W3CDTF">2005-11-04T14:55:33Z</dcterms:created>
  <dcterms:modified xsi:type="dcterms:W3CDTF">2012-02-11T15:46:00Z</dcterms:modified>
  <cp:category/>
  <cp:version/>
  <cp:contentType/>
  <cp:contentStatus/>
</cp:coreProperties>
</file>